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 codeName="{564CA151-5A5B-428A-3C10-775976492406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287005D0-A079-447C-9B7A-77BD92D0F639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listbox" sheetId="2" r:id="rId1"/>
    <sheet name="database" sheetId="4" r:id="rId2"/>
    <sheet name="calc" sheetId="3" r:id="rId3"/>
    <sheet name="Dashboard" sheetId="1" r:id="rId4"/>
  </sheets>
  <definedNames>
    <definedName name="proname">OFFSET(calc!$M$5,0,0,COUNTA(calc!$M$5:$M$22)-COUNTIF(calc!$M$5:$M$22,0),1)</definedName>
    <definedName name="qty">OFFSET(calc!#REF!,0,0,COUNTA(calc!#REF!),1)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42" i="4" l="1"/>
  <c r="E245" i="3" l="1"/>
  <c r="D245" i="3"/>
  <c r="E232" i="3"/>
  <c r="D232" i="3"/>
  <c r="D3" i="2" l="1"/>
  <c r="B3" i="2"/>
  <c r="D175" i="3" l="1"/>
  <c r="D179" i="3"/>
  <c r="D183" i="3"/>
  <c r="D187" i="3"/>
  <c r="D191" i="3"/>
  <c r="D200" i="3"/>
  <c r="D204" i="3"/>
  <c r="D176" i="3"/>
  <c r="D180" i="3"/>
  <c r="D184" i="3"/>
  <c r="D188" i="3"/>
  <c r="D192" i="3"/>
  <c r="D201" i="3"/>
  <c r="D205" i="3"/>
  <c r="D177" i="3"/>
  <c r="D181" i="3"/>
  <c r="D185" i="3"/>
  <c r="D189" i="3"/>
  <c r="D198" i="3"/>
  <c r="D202" i="3"/>
  <c r="D159" i="3"/>
  <c r="D178" i="3"/>
  <c r="D182" i="3"/>
  <c r="D186" i="3"/>
  <c r="D190" i="3"/>
  <c r="D199" i="3"/>
  <c r="D203" i="3"/>
  <c r="D5" i="3"/>
  <c r="F238" i="3"/>
  <c r="F242" i="3"/>
  <c r="F215" i="3"/>
  <c r="F219" i="3"/>
  <c r="F223" i="3"/>
  <c r="F227" i="3"/>
  <c r="F231" i="3"/>
  <c r="F77" i="3"/>
  <c r="F81" i="3"/>
  <c r="D77" i="3"/>
  <c r="D81" i="3"/>
  <c r="F54" i="3"/>
  <c r="F58" i="3"/>
  <c r="F62" i="3"/>
  <c r="F66" i="3"/>
  <c r="D52" i="3"/>
  <c r="D56" i="3"/>
  <c r="D60" i="3"/>
  <c r="D64" i="3"/>
  <c r="D68" i="3"/>
  <c r="F29" i="3"/>
  <c r="F33" i="3"/>
  <c r="D29" i="3"/>
  <c r="D33" i="3"/>
  <c r="F6" i="3"/>
  <c r="F10" i="3"/>
  <c r="F14" i="3"/>
  <c r="F18" i="3"/>
  <c r="F22" i="3"/>
  <c r="D8" i="3"/>
  <c r="D12" i="3"/>
  <c r="D16" i="3"/>
  <c r="D20" i="3"/>
  <c r="F239" i="3"/>
  <c r="F243" i="3"/>
  <c r="F216" i="3"/>
  <c r="F220" i="3"/>
  <c r="F224" i="3"/>
  <c r="F228" i="3"/>
  <c r="F214" i="3"/>
  <c r="F78" i="3"/>
  <c r="F74" i="3"/>
  <c r="D78" i="3"/>
  <c r="D74" i="3"/>
  <c r="F55" i="3"/>
  <c r="F59" i="3"/>
  <c r="F63" i="3"/>
  <c r="F67" i="3"/>
  <c r="D53" i="3"/>
  <c r="D57" i="3"/>
  <c r="D61" i="3"/>
  <c r="D65" i="3"/>
  <c r="D51" i="3"/>
  <c r="F30" i="3"/>
  <c r="F34" i="3"/>
  <c r="D30" i="3"/>
  <c r="D34" i="3"/>
  <c r="F7" i="3"/>
  <c r="F11" i="3"/>
  <c r="F15" i="3"/>
  <c r="F19" i="3"/>
  <c r="F5" i="3"/>
  <c r="D9" i="3"/>
  <c r="D13" i="3"/>
  <c r="D17" i="3"/>
  <c r="D21" i="3"/>
  <c r="F240" i="3"/>
  <c r="F244" i="3"/>
  <c r="F217" i="3"/>
  <c r="F221" i="3"/>
  <c r="F225" i="3"/>
  <c r="F229" i="3"/>
  <c r="F75" i="3"/>
  <c r="F79" i="3"/>
  <c r="D75" i="3"/>
  <c r="D79" i="3"/>
  <c r="F52" i="3"/>
  <c r="F56" i="3"/>
  <c r="F60" i="3"/>
  <c r="F64" i="3"/>
  <c r="F68" i="3"/>
  <c r="D54" i="3"/>
  <c r="D58" i="3"/>
  <c r="D62" i="3"/>
  <c r="D66" i="3"/>
  <c r="F241" i="3"/>
  <c r="F226" i="3"/>
  <c r="D76" i="3"/>
  <c r="F61" i="3"/>
  <c r="D59" i="3"/>
  <c r="D41" i="3"/>
  <c r="F28" i="3"/>
  <c r="D28" i="3"/>
  <c r="F13" i="3"/>
  <c r="F21" i="3"/>
  <c r="D11" i="3"/>
  <c r="J220" i="3" s="1"/>
  <c r="D19" i="3"/>
  <c r="F237" i="3"/>
  <c r="F230" i="3"/>
  <c r="D80" i="3"/>
  <c r="F65" i="3"/>
  <c r="D63" i="3"/>
  <c r="F31" i="3"/>
  <c r="D31" i="3"/>
  <c r="F8" i="3"/>
  <c r="F16" i="3"/>
  <c r="D6" i="3"/>
  <c r="D14" i="3"/>
  <c r="D22" i="3"/>
  <c r="F218" i="3"/>
  <c r="F76" i="3"/>
  <c r="F53" i="3"/>
  <c r="F51" i="3"/>
  <c r="D67" i="3"/>
  <c r="F32" i="3"/>
  <c r="D32" i="3"/>
  <c r="F9" i="3"/>
  <c r="F17" i="3"/>
  <c r="D7" i="3"/>
  <c r="D15" i="3"/>
  <c r="J224" i="3" s="1"/>
  <c r="F222" i="3"/>
  <c r="F80" i="3"/>
  <c r="F57" i="3"/>
  <c r="D55" i="3"/>
  <c r="D42" i="3"/>
  <c r="F35" i="3"/>
  <c r="D35" i="3"/>
  <c r="F12" i="3"/>
  <c r="F20" i="3"/>
  <c r="D10" i="3"/>
  <c r="D18" i="3"/>
  <c r="D126" i="3"/>
  <c r="D88" i="3"/>
  <c r="D87" i="3"/>
  <c r="F88" i="3"/>
  <c r="F87" i="3"/>
  <c r="D125" i="3"/>
  <c r="D120" i="3"/>
  <c r="D251" i="3"/>
  <c r="D250" i="3"/>
  <c r="F199" i="3"/>
  <c r="F203" i="3"/>
  <c r="F175" i="3"/>
  <c r="F179" i="3"/>
  <c r="F183" i="3"/>
  <c r="F187" i="3"/>
  <c r="F191" i="3"/>
  <c r="F162" i="3"/>
  <c r="F166" i="3"/>
  <c r="D161" i="3"/>
  <c r="D165" i="3"/>
  <c r="F137" i="3"/>
  <c r="F141" i="3"/>
  <c r="F145" i="3"/>
  <c r="F149" i="3"/>
  <c r="F153" i="3"/>
  <c r="D140" i="3"/>
  <c r="D144" i="3"/>
  <c r="D148" i="3"/>
  <c r="D152" i="3"/>
  <c r="F122" i="3"/>
  <c r="F126" i="3"/>
  <c r="D121" i="3"/>
  <c r="F98" i="3"/>
  <c r="F102" i="3"/>
  <c r="F106" i="3"/>
  <c r="F110" i="3"/>
  <c r="F114" i="3"/>
  <c r="D101" i="3"/>
  <c r="D105" i="3"/>
  <c r="D109" i="3"/>
  <c r="D113" i="3"/>
  <c r="F200" i="3"/>
  <c r="F204" i="3"/>
  <c r="F176" i="3"/>
  <c r="F180" i="3"/>
  <c r="F184" i="3"/>
  <c r="F188" i="3"/>
  <c r="F192" i="3"/>
  <c r="F163" i="3"/>
  <c r="F159" i="3"/>
  <c r="D162" i="3"/>
  <c r="D166" i="3"/>
  <c r="F138" i="3"/>
  <c r="F142" i="3"/>
  <c r="F146" i="3"/>
  <c r="F150" i="3"/>
  <c r="D137" i="3"/>
  <c r="D141" i="3"/>
  <c r="D145" i="3"/>
  <c r="D149" i="3"/>
  <c r="D153" i="3"/>
  <c r="F123" i="3"/>
  <c r="F127" i="3"/>
  <c r="D122" i="3"/>
  <c r="F99" i="3"/>
  <c r="F103" i="3"/>
  <c r="F107" i="3"/>
  <c r="F111" i="3"/>
  <c r="D98" i="3"/>
  <c r="D102" i="3"/>
  <c r="D106" i="3"/>
  <c r="D110" i="3"/>
  <c r="D114" i="3"/>
  <c r="F201" i="3"/>
  <c r="F205" i="3"/>
  <c r="F177" i="3"/>
  <c r="F181" i="3"/>
  <c r="F185" i="3"/>
  <c r="F189" i="3"/>
  <c r="F160" i="3"/>
  <c r="F164" i="3"/>
  <c r="F136" i="3"/>
  <c r="D163" i="3"/>
  <c r="F139" i="3"/>
  <c r="F143" i="3"/>
  <c r="F147" i="3"/>
  <c r="F151" i="3"/>
  <c r="D138" i="3"/>
  <c r="D142" i="3"/>
  <c r="D146" i="3"/>
  <c r="D150" i="3"/>
  <c r="F202" i="3"/>
  <c r="F186" i="3"/>
  <c r="D160" i="3"/>
  <c r="F144" i="3"/>
  <c r="D143" i="3"/>
  <c r="F121" i="3"/>
  <c r="F97" i="3"/>
  <c r="F105" i="3"/>
  <c r="F113" i="3"/>
  <c r="D104" i="3"/>
  <c r="D112" i="3"/>
  <c r="F198" i="3"/>
  <c r="F190" i="3"/>
  <c r="D164" i="3"/>
  <c r="F148" i="3"/>
  <c r="D147" i="3"/>
  <c r="F124" i="3"/>
  <c r="D123" i="3"/>
  <c r="F100" i="3"/>
  <c r="F108" i="3"/>
  <c r="D99" i="3"/>
  <c r="D107" i="3"/>
  <c r="F178" i="3"/>
  <c r="F161" i="3"/>
  <c r="D136" i="3"/>
  <c r="F152" i="3"/>
  <c r="D151" i="3"/>
  <c r="F125" i="3"/>
  <c r="D124" i="3"/>
  <c r="F101" i="3"/>
  <c r="F109" i="3"/>
  <c r="D100" i="3"/>
  <c r="D108" i="3"/>
  <c r="F182" i="3"/>
  <c r="F165" i="3"/>
  <c r="F140" i="3"/>
  <c r="D139" i="3"/>
  <c r="D97" i="3"/>
  <c r="F120" i="3"/>
  <c r="D127" i="3"/>
  <c r="F104" i="3"/>
  <c r="F112" i="3"/>
  <c r="D103" i="3"/>
  <c r="D111" i="3"/>
  <c r="Q19" i="3"/>
  <c r="C142" i="4"/>
  <c r="D206" i="3" l="1"/>
  <c r="D193" i="3"/>
  <c r="J237" i="3"/>
  <c r="L51" i="3"/>
  <c r="J51" i="3"/>
  <c r="J216" i="3"/>
  <c r="J225" i="3"/>
  <c r="J228" i="3"/>
  <c r="J218" i="3"/>
  <c r="J217" i="3"/>
  <c r="J226" i="3"/>
  <c r="J230" i="3"/>
  <c r="J229" i="3"/>
  <c r="J223" i="3"/>
  <c r="J215" i="3"/>
  <c r="J227" i="3"/>
  <c r="J222" i="3"/>
  <c r="J221" i="3"/>
  <c r="J214" i="3"/>
  <c r="J97" i="3"/>
  <c r="L97" i="3"/>
  <c r="J136" i="3"/>
  <c r="L136" i="3"/>
  <c r="J175" i="3"/>
  <c r="J219" i="3"/>
  <c r="J159" i="3"/>
  <c r="J241" i="3"/>
  <c r="J202" i="3"/>
  <c r="J238" i="3"/>
  <c r="J199" i="3"/>
  <c r="J239" i="3"/>
  <c r="J200" i="3"/>
  <c r="J240" i="3"/>
  <c r="J201" i="3"/>
  <c r="J231" i="3"/>
  <c r="J192" i="3"/>
  <c r="J242" i="3"/>
  <c r="J203" i="3"/>
  <c r="J120" i="3"/>
  <c r="L120" i="3"/>
  <c r="L159" i="3"/>
  <c r="J198" i="3"/>
  <c r="J243" i="3"/>
  <c r="J204" i="3"/>
  <c r="J244" i="3"/>
  <c r="J205" i="3"/>
  <c r="J79" i="3"/>
  <c r="L79" i="3"/>
  <c r="L74" i="3"/>
  <c r="J74" i="3"/>
  <c r="L76" i="3"/>
  <c r="J76" i="3"/>
  <c r="L77" i="3"/>
  <c r="J77" i="3"/>
  <c r="J78" i="3"/>
  <c r="L78" i="3"/>
  <c r="J75" i="3"/>
  <c r="L75" i="3"/>
  <c r="L81" i="3"/>
  <c r="J81" i="3"/>
  <c r="J80" i="3"/>
  <c r="L80" i="3"/>
  <c r="J57" i="3"/>
  <c r="L57" i="3"/>
  <c r="L60" i="3"/>
  <c r="J60" i="3"/>
  <c r="L63" i="3"/>
  <c r="J63" i="3"/>
  <c r="L59" i="3"/>
  <c r="J59" i="3"/>
  <c r="L56" i="3"/>
  <c r="J56" i="3"/>
  <c r="L67" i="3"/>
  <c r="J67" i="3"/>
  <c r="J62" i="3"/>
  <c r="L62" i="3"/>
  <c r="J58" i="3"/>
  <c r="L58" i="3"/>
  <c r="J53" i="3"/>
  <c r="L53" i="3"/>
  <c r="L55" i="3"/>
  <c r="J55" i="3"/>
  <c r="J54" i="3"/>
  <c r="L54" i="3"/>
  <c r="L68" i="3"/>
  <c r="J68" i="3"/>
  <c r="L52" i="3"/>
  <c r="J52" i="3"/>
  <c r="J66" i="3"/>
  <c r="L66" i="3"/>
  <c r="J65" i="3"/>
  <c r="L65" i="3"/>
  <c r="L64" i="3"/>
  <c r="J64" i="3"/>
  <c r="J61" i="3"/>
  <c r="L61" i="3"/>
  <c r="F232" i="3"/>
  <c r="F250" i="3" s="1"/>
  <c r="F193" i="3"/>
  <c r="D89" i="3"/>
  <c r="E88" i="3" s="1"/>
  <c r="F89" i="3"/>
  <c r="G87" i="3" s="1"/>
  <c r="M142" i="4"/>
  <c r="J232" i="3" l="1"/>
  <c r="K214" i="3" s="1"/>
  <c r="J245" i="3"/>
  <c r="K242" i="3" s="1"/>
  <c r="G178" i="3"/>
  <c r="G182" i="3"/>
  <c r="G186" i="3"/>
  <c r="G190" i="3"/>
  <c r="G179" i="3"/>
  <c r="G183" i="3"/>
  <c r="G187" i="3"/>
  <c r="G191" i="3"/>
  <c r="G176" i="3"/>
  <c r="G180" i="3"/>
  <c r="G184" i="3"/>
  <c r="G188" i="3"/>
  <c r="G192" i="3"/>
  <c r="G177" i="3"/>
  <c r="G181" i="3"/>
  <c r="G185" i="3"/>
  <c r="G189" i="3"/>
  <c r="G175" i="3"/>
  <c r="J82" i="3"/>
  <c r="K78" i="3" s="1"/>
  <c r="L82" i="3"/>
  <c r="M81" i="3" s="1"/>
  <c r="L69" i="3"/>
  <c r="M51" i="3" s="1"/>
  <c r="J69" i="3"/>
  <c r="K51" i="3" s="1"/>
  <c r="G231" i="3"/>
  <c r="G225" i="3"/>
  <c r="G224" i="3"/>
  <c r="G221" i="3"/>
  <c r="G228" i="3"/>
  <c r="G219" i="3"/>
  <c r="G230" i="3"/>
  <c r="G220" i="3"/>
  <c r="G217" i="3"/>
  <c r="G227" i="3"/>
  <c r="G226" i="3"/>
  <c r="G223" i="3"/>
  <c r="G222" i="3"/>
  <c r="G229" i="3"/>
  <c r="G214" i="3"/>
  <c r="G216" i="3"/>
  <c r="G215" i="3"/>
  <c r="G218" i="3"/>
  <c r="G88" i="3"/>
  <c r="G89" i="3" s="1"/>
  <c r="E87" i="3"/>
  <c r="K142" i="4"/>
  <c r="N142" i="4"/>
  <c r="O142" i="4"/>
  <c r="P142" i="4"/>
  <c r="Q142" i="4"/>
  <c r="T142" i="4"/>
  <c r="U142" i="4"/>
  <c r="V142" i="4"/>
  <c r="K216" i="3" l="1"/>
  <c r="K219" i="3"/>
  <c r="K215" i="3"/>
  <c r="K222" i="3"/>
  <c r="K229" i="3"/>
  <c r="K226" i="3"/>
  <c r="K228" i="3"/>
  <c r="K223" i="3"/>
  <c r="K227" i="3"/>
  <c r="K231" i="3"/>
  <c r="K224" i="3"/>
  <c r="K217" i="3"/>
  <c r="K221" i="3"/>
  <c r="K218" i="3"/>
  <c r="K225" i="3"/>
  <c r="K220" i="3"/>
  <c r="K230" i="3"/>
  <c r="K238" i="3"/>
  <c r="K241" i="3"/>
  <c r="K237" i="3"/>
  <c r="K244" i="3"/>
  <c r="K239" i="3"/>
  <c r="K240" i="3"/>
  <c r="K243" i="3"/>
  <c r="M57" i="3"/>
  <c r="M56" i="3"/>
  <c r="M54" i="3"/>
  <c r="M66" i="3"/>
  <c r="M62" i="3"/>
  <c r="M65" i="3"/>
  <c r="M53" i="3"/>
  <c r="M60" i="3"/>
  <c r="M67" i="3"/>
  <c r="M55" i="3"/>
  <c r="K76" i="3"/>
  <c r="M64" i="3"/>
  <c r="M58" i="3"/>
  <c r="K81" i="3"/>
  <c r="K75" i="3"/>
  <c r="K77" i="3"/>
  <c r="M79" i="3"/>
  <c r="M74" i="3"/>
  <c r="M80" i="3"/>
  <c r="M76" i="3"/>
  <c r="K55" i="3"/>
  <c r="K61" i="3"/>
  <c r="K65" i="3"/>
  <c r="K52" i="3"/>
  <c r="K58" i="3"/>
  <c r="K60" i="3"/>
  <c r="M61" i="3"/>
  <c r="K57" i="3"/>
  <c r="K54" i="3"/>
  <c r="K62" i="3"/>
  <c r="K67" i="3"/>
  <c r="K64" i="3"/>
  <c r="K56" i="3"/>
  <c r="K53" i="3"/>
  <c r="K63" i="3"/>
  <c r="K66" i="3"/>
  <c r="M78" i="3"/>
  <c r="M77" i="3"/>
  <c r="K74" i="3"/>
  <c r="K79" i="3"/>
  <c r="K80" i="3"/>
  <c r="M75" i="3"/>
  <c r="M63" i="3"/>
  <c r="M59" i="3"/>
  <c r="M68" i="3"/>
  <c r="K59" i="3"/>
  <c r="K68" i="3"/>
  <c r="M52" i="3"/>
  <c r="D252" i="3"/>
  <c r="F245" i="3"/>
  <c r="F206" i="3"/>
  <c r="G198" i="3" s="1"/>
  <c r="D167" i="3"/>
  <c r="E159" i="3" s="1"/>
  <c r="D154" i="3"/>
  <c r="F154" i="3"/>
  <c r="F167" i="3"/>
  <c r="G159" i="3" s="1"/>
  <c r="D115" i="3"/>
  <c r="D128" i="3"/>
  <c r="E120" i="3" s="1"/>
  <c r="F115" i="3"/>
  <c r="F128" i="3"/>
  <c r="G120" i="3" s="1"/>
  <c r="D69" i="3"/>
  <c r="E67" i="3" s="1"/>
  <c r="D82" i="3"/>
  <c r="F69" i="3"/>
  <c r="G67" i="3" s="1"/>
  <c r="F82" i="3"/>
  <c r="K232" i="3" l="1"/>
  <c r="K245" i="3"/>
  <c r="M82" i="3"/>
  <c r="M69" i="3"/>
  <c r="K69" i="3"/>
  <c r="K82" i="3"/>
  <c r="E160" i="3"/>
  <c r="E166" i="3"/>
  <c r="E165" i="3"/>
  <c r="E164" i="3"/>
  <c r="E163" i="3"/>
  <c r="E162" i="3"/>
  <c r="E161" i="3"/>
  <c r="E122" i="3"/>
  <c r="E125" i="3"/>
  <c r="E123" i="3"/>
  <c r="E121" i="3"/>
  <c r="E124" i="3"/>
  <c r="E127" i="3"/>
  <c r="E126" i="3"/>
  <c r="G126" i="3"/>
  <c r="G125" i="3"/>
  <c r="G124" i="3"/>
  <c r="G127" i="3"/>
  <c r="G121" i="3"/>
  <c r="G123" i="3"/>
  <c r="G122" i="3"/>
  <c r="G163" i="3"/>
  <c r="G162" i="3"/>
  <c r="G161" i="3"/>
  <c r="G164" i="3"/>
  <c r="G166" i="3"/>
  <c r="G165" i="3"/>
  <c r="G160" i="3"/>
  <c r="G199" i="3"/>
  <c r="G201" i="3"/>
  <c r="G202" i="3"/>
  <c r="G200" i="3"/>
  <c r="G203" i="3"/>
  <c r="G205" i="3"/>
  <c r="G204" i="3"/>
  <c r="F251" i="3"/>
  <c r="G244" i="3"/>
  <c r="G240" i="3"/>
  <c r="G243" i="3"/>
  <c r="G242" i="3"/>
  <c r="G239" i="3"/>
  <c r="G238" i="3"/>
  <c r="G237" i="3"/>
  <c r="G241" i="3"/>
  <c r="E251" i="3"/>
  <c r="E250" i="3"/>
  <c r="G138" i="3"/>
  <c r="G142" i="3"/>
  <c r="G146" i="3"/>
  <c r="G150" i="3"/>
  <c r="G136" i="3"/>
  <c r="G139" i="3"/>
  <c r="G143" i="3"/>
  <c r="G151" i="3"/>
  <c r="G140" i="3"/>
  <c r="G144" i="3"/>
  <c r="G148" i="3"/>
  <c r="G152" i="3"/>
  <c r="G137" i="3"/>
  <c r="G141" i="3"/>
  <c r="G145" i="3"/>
  <c r="G149" i="3"/>
  <c r="G153" i="3"/>
  <c r="G147" i="3"/>
  <c r="E140" i="3"/>
  <c r="E144" i="3"/>
  <c r="E148" i="3"/>
  <c r="E152" i="3"/>
  <c r="E137" i="3"/>
  <c r="E141" i="3"/>
  <c r="E145" i="3"/>
  <c r="E149" i="3"/>
  <c r="E153" i="3"/>
  <c r="E138" i="3"/>
  <c r="E142" i="3"/>
  <c r="E146" i="3"/>
  <c r="E150" i="3"/>
  <c r="E139" i="3"/>
  <c r="E143" i="3"/>
  <c r="E147" i="3"/>
  <c r="E151" i="3"/>
  <c r="E136" i="3"/>
  <c r="E99" i="3"/>
  <c r="E103" i="3"/>
  <c r="E107" i="3"/>
  <c r="E111" i="3"/>
  <c r="E100" i="3"/>
  <c r="E104" i="3"/>
  <c r="E108" i="3"/>
  <c r="E112" i="3"/>
  <c r="E101" i="3"/>
  <c r="E105" i="3"/>
  <c r="E109" i="3"/>
  <c r="E113" i="3"/>
  <c r="E98" i="3"/>
  <c r="E102" i="3"/>
  <c r="E106" i="3"/>
  <c r="E110" i="3"/>
  <c r="E114" i="3"/>
  <c r="E97" i="3"/>
  <c r="G98" i="3"/>
  <c r="G102" i="3"/>
  <c r="G106" i="3"/>
  <c r="G110" i="3"/>
  <c r="G114" i="3"/>
  <c r="G99" i="3"/>
  <c r="G103" i="3"/>
  <c r="G107" i="3"/>
  <c r="G111" i="3"/>
  <c r="G100" i="3"/>
  <c r="G104" i="3"/>
  <c r="G108" i="3"/>
  <c r="G112" i="3"/>
  <c r="G101" i="3"/>
  <c r="G105" i="3"/>
  <c r="G109" i="3"/>
  <c r="G113" i="3"/>
  <c r="G97" i="3"/>
  <c r="G77" i="3"/>
  <c r="G81" i="3"/>
  <c r="G78" i="3"/>
  <c r="G74" i="3"/>
  <c r="G80" i="3"/>
  <c r="G76" i="3"/>
  <c r="G79" i="3"/>
  <c r="G75" i="3"/>
  <c r="G54" i="3"/>
  <c r="G58" i="3"/>
  <c r="G62" i="3"/>
  <c r="G66" i="3"/>
  <c r="G55" i="3"/>
  <c r="G59" i="3"/>
  <c r="G63" i="3"/>
  <c r="G65" i="3"/>
  <c r="G60" i="3"/>
  <c r="G61" i="3"/>
  <c r="G56" i="3"/>
  <c r="G57" i="3"/>
  <c r="G51" i="3"/>
  <c r="G68" i="3"/>
  <c r="G52" i="3"/>
  <c r="G53" i="3"/>
  <c r="G64" i="3"/>
  <c r="E77" i="3"/>
  <c r="E81" i="3"/>
  <c r="E78" i="3"/>
  <c r="E74" i="3"/>
  <c r="E80" i="3"/>
  <c r="E79" i="3"/>
  <c r="E76" i="3"/>
  <c r="E75" i="3"/>
  <c r="E53" i="3"/>
  <c r="E57" i="3"/>
  <c r="E61" i="3"/>
  <c r="E65" i="3"/>
  <c r="E54" i="3"/>
  <c r="E58" i="3"/>
  <c r="E62" i="3"/>
  <c r="E66" i="3"/>
  <c r="E55" i="3"/>
  <c r="E59" i="3"/>
  <c r="E63" i="3"/>
  <c r="E68" i="3"/>
  <c r="E52" i="3"/>
  <c r="E51" i="3"/>
  <c r="E64" i="3"/>
  <c r="E60" i="3"/>
  <c r="E56" i="3"/>
  <c r="J42" i="3" l="1"/>
  <c r="J41" i="3"/>
  <c r="J29" i="3" l="1"/>
  <c r="J30" i="3"/>
  <c r="J31" i="3"/>
  <c r="J32" i="3"/>
  <c r="J33" i="3"/>
  <c r="J34" i="3"/>
  <c r="J35" i="3"/>
  <c r="J28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L142" i="4"/>
  <c r="S142" i="4"/>
  <c r="W142" i="4"/>
  <c r="Q16" i="3" l="1"/>
  <c r="Q12" i="3"/>
  <c r="Q4" i="3"/>
  <c r="Q15" i="3"/>
  <c r="Q11" i="3"/>
  <c r="Q7" i="3"/>
  <c r="Q3" i="3"/>
  <c r="Q18" i="3"/>
  <c r="Q14" i="3"/>
  <c r="Q10" i="3"/>
  <c r="Q6" i="3"/>
  <c r="Q2" i="3"/>
  <c r="Q17" i="3"/>
  <c r="Q13" i="3"/>
  <c r="Q9" i="3"/>
  <c r="Q5" i="3"/>
  <c r="J206" i="3"/>
  <c r="L113" i="3"/>
  <c r="J152" i="3"/>
  <c r="L152" i="3"/>
  <c r="J191" i="3"/>
  <c r="J113" i="3"/>
  <c r="L148" i="3"/>
  <c r="L109" i="3"/>
  <c r="J187" i="3"/>
  <c r="J148" i="3"/>
  <c r="J109" i="3"/>
  <c r="J140" i="3"/>
  <c r="J163" i="3"/>
  <c r="J179" i="3"/>
  <c r="J101" i="3"/>
  <c r="L140" i="3"/>
  <c r="L101" i="3"/>
  <c r="J125" i="3"/>
  <c r="L164" i="3"/>
  <c r="L125" i="3"/>
  <c r="L121" i="3"/>
  <c r="J121" i="3"/>
  <c r="L160" i="3"/>
  <c r="J144" i="3"/>
  <c r="J105" i="3"/>
  <c r="L105" i="3"/>
  <c r="L144" i="3"/>
  <c r="J183" i="3"/>
  <c r="L112" i="3"/>
  <c r="J151" i="3"/>
  <c r="L151" i="3"/>
  <c r="J112" i="3"/>
  <c r="J190" i="3"/>
  <c r="J108" i="3"/>
  <c r="L108" i="3"/>
  <c r="J147" i="3"/>
  <c r="L147" i="3"/>
  <c r="J186" i="3"/>
  <c r="J182" i="3"/>
  <c r="L143" i="3"/>
  <c r="L104" i="3"/>
  <c r="J143" i="3"/>
  <c r="J166" i="3"/>
  <c r="J104" i="3"/>
  <c r="J162" i="3"/>
  <c r="J100" i="3"/>
  <c r="J178" i="3"/>
  <c r="L139" i="3"/>
  <c r="L100" i="3"/>
  <c r="J139" i="3"/>
  <c r="L124" i="3"/>
  <c r="L163" i="3"/>
  <c r="J124" i="3"/>
  <c r="J111" i="3"/>
  <c r="L111" i="3"/>
  <c r="L150" i="3"/>
  <c r="J189" i="3"/>
  <c r="J150" i="3"/>
  <c r="J185" i="3"/>
  <c r="J107" i="3"/>
  <c r="L107" i="3"/>
  <c r="J146" i="3"/>
  <c r="L146" i="3"/>
  <c r="J181" i="3"/>
  <c r="J165" i="3"/>
  <c r="J103" i="3"/>
  <c r="L103" i="3"/>
  <c r="J142" i="3"/>
  <c r="L142" i="3"/>
  <c r="L138" i="3"/>
  <c r="J161" i="3"/>
  <c r="J177" i="3"/>
  <c r="J99" i="3"/>
  <c r="L99" i="3"/>
  <c r="J138" i="3"/>
  <c r="L127" i="3"/>
  <c r="J127" i="3"/>
  <c r="L166" i="3"/>
  <c r="J123" i="3"/>
  <c r="L123" i="3"/>
  <c r="L162" i="3"/>
  <c r="L114" i="3"/>
  <c r="J114" i="3"/>
  <c r="L153" i="3"/>
  <c r="J153" i="3"/>
  <c r="J149" i="3"/>
  <c r="J110" i="3"/>
  <c r="L149" i="3"/>
  <c r="J188" i="3"/>
  <c r="L110" i="3"/>
  <c r="L106" i="3"/>
  <c r="J145" i="3"/>
  <c r="J106" i="3"/>
  <c r="J184" i="3"/>
  <c r="L145" i="3"/>
  <c r="J180" i="3"/>
  <c r="J164" i="3"/>
  <c r="L102" i="3"/>
  <c r="J141" i="3"/>
  <c r="J102" i="3"/>
  <c r="L141" i="3"/>
  <c r="L137" i="3"/>
  <c r="J176" i="3"/>
  <c r="L98" i="3"/>
  <c r="J137" i="3"/>
  <c r="J160" i="3"/>
  <c r="J98" i="3"/>
  <c r="L126" i="3"/>
  <c r="L165" i="3"/>
  <c r="J126" i="3"/>
  <c r="J122" i="3"/>
  <c r="L122" i="3"/>
  <c r="L161" i="3"/>
  <c r="D23" i="3"/>
  <c r="E5" i="3" s="1"/>
  <c r="D36" i="3"/>
  <c r="D43" i="3"/>
  <c r="E41" i="3" s="1"/>
  <c r="F36" i="3"/>
  <c r="F42" i="3" s="1"/>
  <c r="F23" i="3"/>
  <c r="F41" i="3" s="1"/>
  <c r="K203" i="3" l="1"/>
  <c r="K198" i="3"/>
  <c r="K199" i="3"/>
  <c r="K204" i="3"/>
  <c r="K201" i="3"/>
  <c r="K205" i="3"/>
  <c r="K200" i="3"/>
  <c r="K202" i="3"/>
  <c r="L167" i="3"/>
  <c r="M159" i="3" s="1"/>
  <c r="J167" i="3"/>
  <c r="L154" i="3"/>
  <c r="M145" i="3" s="1"/>
  <c r="J115" i="3"/>
  <c r="L115" i="3"/>
  <c r="J128" i="3"/>
  <c r="L128" i="3"/>
  <c r="J193" i="3"/>
  <c r="J154" i="3"/>
  <c r="K149" i="3" s="1"/>
  <c r="E16" i="3"/>
  <c r="E10" i="3"/>
  <c r="E11" i="3"/>
  <c r="E18" i="3"/>
  <c r="E19" i="3"/>
  <c r="G28" i="3"/>
  <c r="M28" i="3" s="1"/>
  <c r="E42" i="3"/>
  <c r="E17" i="3"/>
  <c r="E6" i="3"/>
  <c r="E12" i="3"/>
  <c r="E20" i="3"/>
  <c r="E7" i="3"/>
  <c r="E21" i="3"/>
  <c r="E8" i="3"/>
  <c r="E9" i="3"/>
  <c r="E22" i="3"/>
  <c r="E29" i="3"/>
  <c r="E33" i="3"/>
  <c r="E30" i="3"/>
  <c r="E31" i="3"/>
  <c r="E32" i="3"/>
  <c r="E13" i="3"/>
  <c r="E34" i="3"/>
  <c r="E14" i="3"/>
  <c r="E35" i="3"/>
  <c r="E15" i="3"/>
  <c r="E28" i="3"/>
  <c r="G31" i="3"/>
  <c r="M31" i="3" s="1"/>
  <c r="G35" i="3"/>
  <c r="M35" i="3" s="1"/>
  <c r="G32" i="3"/>
  <c r="M32" i="3" s="1"/>
  <c r="G29" i="3"/>
  <c r="M29" i="3" s="1"/>
  <c r="G33" i="3"/>
  <c r="M33" i="3" s="1"/>
  <c r="G30" i="3"/>
  <c r="M30" i="3" s="1"/>
  <c r="G34" i="3"/>
  <c r="M34" i="3" s="1"/>
  <c r="G16" i="3"/>
  <c r="M16" i="3" s="1"/>
  <c r="G20" i="3"/>
  <c r="M20" i="3" s="1"/>
  <c r="G7" i="3"/>
  <c r="M7" i="3" s="1"/>
  <c r="G10" i="3"/>
  <c r="M10" i="3" s="1"/>
  <c r="G13" i="3"/>
  <c r="M13" i="3" s="1"/>
  <c r="G17" i="3"/>
  <c r="M17" i="3" s="1"/>
  <c r="G21" i="3"/>
  <c r="M21" i="3" s="1"/>
  <c r="G6" i="3"/>
  <c r="M6" i="3" s="1"/>
  <c r="G8" i="3"/>
  <c r="M8" i="3" s="1"/>
  <c r="G11" i="3"/>
  <c r="M11" i="3" s="1"/>
  <c r="G14" i="3"/>
  <c r="M14" i="3" s="1"/>
  <c r="G18" i="3"/>
  <c r="M18" i="3" s="1"/>
  <c r="G9" i="3"/>
  <c r="M9" i="3" s="1"/>
  <c r="G12" i="3"/>
  <c r="M12" i="3" s="1"/>
  <c r="G15" i="3"/>
  <c r="M15" i="3" s="1"/>
  <c r="G19" i="3"/>
  <c r="M19" i="3" s="1"/>
  <c r="G22" i="3"/>
  <c r="M22" i="3" s="1"/>
  <c r="G5" i="3"/>
  <c r="M5" i="3" s="1"/>
  <c r="K122" i="3" l="1"/>
  <c r="K120" i="3"/>
  <c r="K163" i="3"/>
  <c r="K159" i="3"/>
  <c r="M124" i="3"/>
  <c r="M120" i="3"/>
  <c r="K188" i="3"/>
  <c r="K175" i="3"/>
  <c r="M100" i="3"/>
  <c r="M97" i="3"/>
  <c r="K106" i="3"/>
  <c r="K97" i="3"/>
  <c r="N16" i="3"/>
  <c r="M126" i="3"/>
  <c r="K166" i="3"/>
  <c r="M161" i="3"/>
  <c r="K165" i="3"/>
  <c r="K186" i="3"/>
  <c r="M142" i="3"/>
  <c r="K182" i="3"/>
  <c r="K107" i="3"/>
  <c r="K164" i="3"/>
  <c r="K113" i="3"/>
  <c r="K101" i="3"/>
  <c r="M139" i="3"/>
  <c r="K105" i="3"/>
  <c r="M113" i="3"/>
  <c r="K102" i="3"/>
  <c r="M101" i="3"/>
  <c r="M164" i="3"/>
  <c r="K162" i="3"/>
  <c r="K121" i="3"/>
  <c r="K126" i="3"/>
  <c r="M110" i="3"/>
  <c r="K181" i="3"/>
  <c r="K137" i="3"/>
  <c r="M105" i="3"/>
  <c r="M136" i="3"/>
  <c r="K144" i="3"/>
  <c r="K138" i="3"/>
  <c r="K179" i="3"/>
  <c r="M112" i="3"/>
  <c r="K139" i="3"/>
  <c r="M111" i="3"/>
  <c r="K180" i="3"/>
  <c r="K152" i="3"/>
  <c r="M144" i="3"/>
  <c r="K108" i="3"/>
  <c r="K127" i="3"/>
  <c r="M102" i="3"/>
  <c r="K187" i="3"/>
  <c r="K161" i="3"/>
  <c r="M107" i="3"/>
  <c r="M114" i="3"/>
  <c r="M104" i="3"/>
  <c r="M140" i="3"/>
  <c r="K147" i="3"/>
  <c r="M146" i="3"/>
  <c r="M153" i="3"/>
  <c r="K178" i="3"/>
  <c r="K124" i="3"/>
  <c r="K153" i="3"/>
  <c r="M109" i="3"/>
  <c r="K125" i="3"/>
  <c r="M147" i="3"/>
  <c r="K123" i="3"/>
  <c r="K160" i="3"/>
  <c r="K143" i="3"/>
  <c r="M123" i="3"/>
  <c r="M122" i="3"/>
  <c r="M148" i="3"/>
  <c r="K151" i="3"/>
  <c r="M150" i="3"/>
  <c r="K103" i="3"/>
  <c r="M149" i="3"/>
  <c r="M152" i="3"/>
  <c r="K183" i="3"/>
  <c r="M143" i="3"/>
  <c r="M103" i="3"/>
  <c r="M160" i="3"/>
  <c r="M108" i="3"/>
  <c r="K100" i="3"/>
  <c r="M163" i="3"/>
  <c r="K146" i="3"/>
  <c r="M99" i="3"/>
  <c r="K114" i="3"/>
  <c r="K98" i="3"/>
  <c r="M127" i="3"/>
  <c r="K148" i="3"/>
  <c r="K136" i="3"/>
  <c r="K112" i="3"/>
  <c r="K177" i="3"/>
  <c r="K192" i="3"/>
  <c r="K184" i="3"/>
  <c r="M98" i="3"/>
  <c r="M165" i="3"/>
  <c r="K109" i="3"/>
  <c r="M121" i="3"/>
  <c r="K190" i="3"/>
  <c r="K150" i="3"/>
  <c r="M138" i="3"/>
  <c r="M106" i="3"/>
  <c r="M137" i="3"/>
  <c r="M125" i="3"/>
  <c r="M151" i="3"/>
  <c r="K185" i="3"/>
  <c r="M162" i="3"/>
  <c r="K145" i="3"/>
  <c r="K176" i="3"/>
  <c r="K191" i="3"/>
  <c r="K111" i="3"/>
  <c r="M166" i="3"/>
  <c r="K110" i="3"/>
  <c r="K141" i="3"/>
  <c r="K99" i="3"/>
  <c r="K189" i="3"/>
  <c r="K142" i="3"/>
  <c r="M141" i="3"/>
  <c r="K140" i="3"/>
  <c r="K104" i="3"/>
  <c r="E89" i="3"/>
  <c r="E167" i="3"/>
  <c r="E115" i="3"/>
  <c r="E82" i="3"/>
  <c r="G167" i="3"/>
  <c r="G128" i="3"/>
  <c r="E69" i="3"/>
  <c r="E252" i="3"/>
  <c r="G154" i="3"/>
  <c r="E128" i="3"/>
  <c r="G232" i="3"/>
  <c r="G69" i="3"/>
  <c r="F252" i="3"/>
  <c r="G206" i="3"/>
  <c r="G245" i="3"/>
  <c r="G82" i="3"/>
  <c r="E154" i="3"/>
  <c r="G193" i="3"/>
  <c r="G115" i="3"/>
  <c r="N28" i="3"/>
  <c r="N34" i="3"/>
  <c r="N32" i="3"/>
  <c r="N22" i="3"/>
  <c r="N21" i="3"/>
  <c r="N35" i="3"/>
  <c r="N29" i="3"/>
  <c r="N20" i="3"/>
  <c r="N11" i="3"/>
  <c r="N14" i="3"/>
  <c r="N31" i="3"/>
  <c r="N8" i="3"/>
  <c r="N12" i="3"/>
  <c r="N17" i="3"/>
  <c r="N19" i="3"/>
  <c r="N30" i="3"/>
  <c r="N6" i="3"/>
  <c r="N10" i="3"/>
  <c r="N15" i="3"/>
  <c r="N13" i="3"/>
  <c r="N33" i="3"/>
  <c r="N9" i="3"/>
  <c r="N7" i="3"/>
  <c r="N18" i="3"/>
  <c r="E43" i="3"/>
  <c r="F43" i="3"/>
  <c r="G41" i="3" s="1"/>
  <c r="E23" i="3"/>
  <c r="G36" i="3"/>
  <c r="E36" i="3"/>
  <c r="G23" i="3"/>
  <c r="M41" i="3" l="1"/>
  <c r="N41" i="3" s="1"/>
  <c r="N5" i="3"/>
  <c r="K167" i="3"/>
  <c r="K128" i="3"/>
  <c r="K115" i="3"/>
  <c r="M115" i="3"/>
  <c r="M167" i="3"/>
  <c r="M154" i="3"/>
  <c r="K154" i="3"/>
  <c r="K206" i="3"/>
  <c r="K193" i="3"/>
  <c r="M128" i="3"/>
  <c r="G250" i="3"/>
  <c r="G251" i="3"/>
  <c r="G42" i="3"/>
  <c r="G43" i="3" l="1"/>
  <c r="M42" i="3"/>
  <c r="N42" i="3" s="1"/>
  <c r="G252" i="3"/>
</calcChain>
</file>

<file path=xl/sharedStrings.xml><?xml version="1.0" encoding="utf-8"?>
<sst xmlns="http://schemas.openxmlformats.org/spreadsheetml/2006/main" count="1618" uniqueCount="217">
  <si>
    <t>واحد اداری و تشکیلاتی</t>
  </si>
  <si>
    <t>واحد پشتیبانی</t>
  </si>
  <si>
    <t>واحد عملیاتی</t>
  </si>
  <si>
    <t>بندرعباس</t>
  </si>
  <si>
    <t>تهران</t>
  </si>
  <si>
    <t>واحد مدیریت</t>
  </si>
  <si>
    <t>واحد مالی</t>
  </si>
  <si>
    <t>واحد اداری</t>
  </si>
  <si>
    <t>واحد حمل و نقل</t>
  </si>
  <si>
    <t>واحد تولید</t>
  </si>
  <si>
    <t>واحد حراست</t>
  </si>
  <si>
    <t>واحد انبار</t>
  </si>
  <si>
    <t>واحد آشپزخانه و رستوران</t>
  </si>
  <si>
    <t>واحد تاسیسات</t>
  </si>
  <si>
    <t>واحد تعمیر و نگهداری PM</t>
  </si>
  <si>
    <t>واحد بازرگانی</t>
  </si>
  <si>
    <t>واحد تدارکات</t>
  </si>
  <si>
    <t>واحد فنی و مهندسی و برنامه ریزی</t>
  </si>
  <si>
    <t>واحد کنترل کیفیت QC</t>
  </si>
  <si>
    <t>واحد نصب</t>
  </si>
  <si>
    <t>مدیرعامل</t>
  </si>
  <si>
    <t>قائم مقام مدیرعامل</t>
  </si>
  <si>
    <t>رئیس هیئت مدیره</t>
  </si>
  <si>
    <t>نائب رئیس هیئت مدیره</t>
  </si>
  <si>
    <t>عضو هیئت مدیره</t>
  </si>
  <si>
    <t>مدیر پروژه</t>
  </si>
  <si>
    <t>مدیریت کارخانه</t>
  </si>
  <si>
    <t>معاونت کارخانه</t>
  </si>
  <si>
    <t>انجام امور محوله از سوی کارفرما</t>
  </si>
  <si>
    <t>کمک حسابدار</t>
  </si>
  <si>
    <t>حسابدار حقوق و دستمزد</t>
  </si>
  <si>
    <t>حسابدار فروش</t>
  </si>
  <si>
    <t>حسابدار خرید</t>
  </si>
  <si>
    <t>حسابدار اموال</t>
  </si>
  <si>
    <t>حسابدار انبار</t>
  </si>
  <si>
    <t>حسابدار خزانه</t>
  </si>
  <si>
    <t>حسابدار مالی</t>
  </si>
  <si>
    <t>حسابدار ارشد</t>
  </si>
  <si>
    <t>مسئول حسابداری</t>
  </si>
  <si>
    <t>سرپرست حسابداری</t>
  </si>
  <si>
    <t>مدیر امور مالی</t>
  </si>
  <si>
    <t>مشاور قانون کار و بیمه</t>
  </si>
  <si>
    <t>مشاور مالی و مالیاتی</t>
  </si>
  <si>
    <t>حسابدار مدیریت</t>
  </si>
  <si>
    <t>منشی</t>
  </si>
  <si>
    <t>مسئول اداری</t>
  </si>
  <si>
    <t>مسئول دفتر</t>
  </si>
  <si>
    <t>کارمند اداری</t>
  </si>
  <si>
    <t>کارپرداز</t>
  </si>
  <si>
    <t>مسئول روابط عمومی</t>
  </si>
  <si>
    <t>مسئول IT</t>
  </si>
  <si>
    <t>راننده تریلی</t>
  </si>
  <si>
    <t>راننده لودر</t>
  </si>
  <si>
    <t>راننده جرثقیل</t>
  </si>
  <si>
    <t>راننده لیفتراک</t>
  </si>
  <si>
    <t>راننده تراکتور</t>
  </si>
  <si>
    <t>راننده آکتروس</t>
  </si>
  <si>
    <t>راننده دانگ فنگ</t>
  </si>
  <si>
    <t>کارگر تولید</t>
  </si>
  <si>
    <t>آرماتوربند</t>
  </si>
  <si>
    <t>مسئول تولید</t>
  </si>
  <si>
    <t>راننده کمک میکسر</t>
  </si>
  <si>
    <t>راننده میکسر</t>
  </si>
  <si>
    <t>اپراتور تاورکرین</t>
  </si>
  <si>
    <t>نگهبان</t>
  </si>
  <si>
    <t>سرپرست نگهبان</t>
  </si>
  <si>
    <t>کمک انباردار</t>
  </si>
  <si>
    <t>کارگر انبار</t>
  </si>
  <si>
    <t>سرپرست انبار</t>
  </si>
  <si>
    <t>مدیر انبار</t>
  </si>
  <si>
    <t>آشپز</t>
  </si>
  <si>
    <t>سر آشپز</t>
  </si>
  <si>
    <t>مسئول تاسیسات</t>
  </si>
  <si>
    <t>سرویس کار ماشین آلات و تجهیزات</t>
  </si>
  <si>
    <t>مسئول بازرگانی</t>
  </si>
  <si>
    <t>مسئول خرید</t>
  </si>
  <si>
    <t>کارمند واحد فنی</t>
  </si>
  <si>
    <t>کارشناس فنی</t>
  </si>
  <si>
    <t>مدیر فنی</t>
  </si>
  <si>
    <t>کارشناس برنامه ریزی</t>
  </si>
  <si>
    <t>سرپرست برنامه ریزی</t>
  </si>
  <si>
    <t>سرپرست طرح و توسعه</t>
  </si>
  <si>
    <t>مهندس طراح</t>
  </si>
  <si>
    <t>مهندس محاسبات</t>
  </si>
  <si>
    <t>مهندس نقشه کش</t>
  </si>
  <si>
    <t>مهندس اجرائی کارگاه</t>
  </si>
  <si>
    <t>تکنسین اجرائی کارگاه</t>
  </si>
  <si>
    <t>مهندس کارگاه</t>
  </si>
  <si>
    <t>سرپرست کارگاه</t>
  </si>
  <si>
    <t>کارمند آزمایشگاه</t>
  </si>
  <si>
    <t>مدیر آزمایشگاه</t>
  </si>
  <si>
    <t>کارگر نصب</t>
  </si>
  <si>
    <t>مسئول نصب</t>
  </si>
  <si>
    <t>واحد شغلی</t>
  </si>
  <si>
    <t>سمت شغلی</t>
  </si>
  <si>
    <t>محل خدمت</t>
  </si>
  <si>
    <t>مرکز هزینه</t>
  </si>
  <si>
    <t>ماه</t>
  </si>
  <si>
    <t>کد پرسنلی</t>
  </si>
  <si>
    <t>نام و نام خانوادگی</t>
  </si>
  <si>
    <t>اضافه کاری
(ساعت)</t>
  </si>
  <si>
    <t>مهر</t>
  </si>
  <si>
    <t>آبان</t>
  </si>
  <si>
    <t>فروردین</t>
  </si>
  <si>
    <t>اردیبهشت</t>
  </si>
  <si>
    <t>خرداد</t>
  </si>
  <si>
    <t>تیر</t>
  </si>
  <si>
    <t>مرداد</t>
  </si>
  <si>
    <t>شهریور</t>
  </si>
  <si>
    <t>آذر</t>
  </si>
  <si>
    <t>دی</t>
  </si>
  <si>
    <t>بهمن</t>
  </si>
  <si>
    <t>اسفند</t>
  </si>
  <si>
    <t>تعداد نفرات</t>
  </si>
  <si>
    <t>درصد (تعداد نفرات)</t>
  </si>
  <si>
    <t>جمع پرداختی</t>
  </si>
  <si>
    <t>درصد(جمع پرداختی)</t>
  </si>
  <si>
    <t>کل</t>
  </si>
  <si>
    <t>حمیدرضا حمیدی زاده</t>
  </si>
  <si>
    <t>حیدر محبوبی شمیلی</t>
  </si>
  <si>
    <t>مهران حاجی زاده</t>
  </si>
  <si>
    <t>فتحعلی شفیعی زاده</t>
  </si>
  <si>
    <t>حسین قنبری</t>
  </si>
  <si>
    <t>سعید دامچین</t>
  </si>
  <si>
    <t>اسداله پدرام</t>
  </si>
  <si>
    <t>علیرضا ادیب نیا</t>
  </si>
  <si>
    <t>حسین خنده جام</t>
  </si>
  <si>
    <t>رضا شبانی</t>
  </si>
  <si>
    <t>رجبعلی استوار</t>
  </si>
  <si>
    <t>محمد سالاری نودژ</t>
  </si>
  <si>
    <t>علی محبی نودژ</t>
  </si>
  <si>
    <t>صمد جوادی سلیم آباد</t>
  </si>
  <si>
    <t>حسین سلیمانی</t>
  </si>
  <si>
    <t>مینا بابائی</t>
  </si>
  <si>
    <t>رضا مقدسی</t>
  </si>
  <si>
    <t>اپراتور بچینگ</t>
  </si>
  <si>
    <t>جمع</t>
  </si>
  <si>
    <t>حقوق پرداختنی:</t>
  </si>
  <si>
    <t>درپوش پایین</t>
  </si>
  <si>
    <t>لیبل</t>
  </si>
  <si>
    <t>مقدار واقعی</t>
  </si>
  <si>
    <t>ترنسپرنت</t>
  </si>
  <si>
    <t>درپوش بالا</t>
  </si>
  <si>
    <t>اضافه کاری:</t>
  </si>
  <si>
    <t>جمعه کاری:</t>
  </si>
  <si>
    <t>شب کاری:</t>
  </si>
  <si>
    <t>حق ماموریت:</t>
  </si>
  <si>
    <t>هزینه حقوق و دستمزد:</t>
  </si>
  <si>
    <t>حقوق پرداختنی
(خالص)</t>
  </si>
  <si>
    <t>جمع
حقوق و مزایا</t>
  </si>
  <si>
    <t>مالیات</t>
  </si>
  <si>
    <t>بیمه</t>
  </si>
  <si>
    <t>کارکرد
(ساعت)</t>
  </si>
  <si>
    <t>شب کاری
(ساعت)</t>
  </si>
  <si>
    <t>مبلغ
شب کاری</t>
  </si>
  <si>
    <t>مبلغ
اضافه کاری</t>
  </si>
  <si>
    <t>مبلغ
حق ماموریت</t>
  </si>
  <si>
    <t>ساعت اضافه کاری</t>
  </si>
  <si>
    <t>درصد</t>
  </si>
  <si>
    <t>ساعت جمعه کاری</t>
  </si>
  <si>
    <t>ساعت شب کاری</t>
  </si>
  <si>
    <t>سرانه ساعت</t>
  </si>
  <si>
    <t>درصد سرانه</t>
  </si>
  <si>
    <t>سرانه پرداختی</t>
  </si>
  <si>
    <t>درصد سرانه پرداختی</t>
  </si>
  <si>
    <t>توزیع و فروش</t>
  </si>
  <si>
    <t>حراست (کارخانه)</t>
  </si>
  <si>
    <t>آشپزخانه (کارخانه)</t>
  </si>
  <si>
    <t>تدارکات (کارخانه)</t>
  </si>
  <si>
    <t>انبار (کارخانه)</t>
  </si>
  <si>
    <t>تاسیسات (کارخانه)</t>
  </si>
  <si>
    <t>فنی تولید (کارخانه)</t>
  </si>
  <si>
    <t>QC و کنترل کیفیت (کارخانه)</t>
  </si>
  <si>
    <t>حمل مواد اولیه (کارخانه)</t>
  </si>
  <si>
    <t>حمل محصولات و سایر (کارخانه)</t>
  </si>
  <si>
    <t>قالب سازی(کارخانه)</t>
  </si>
  <si>
    <t>بتن سازی(کارخانه)</t>
  </si>
  <si>
    <t>بتن ریزی(کارخانه)</t>
  </si>
  <si>
    <t>آرماتور، میلگرد (کارخانه)</t>
  </si>
  <si>
    <t>کیورینگ(کارخانه)</t>
  </si>
  <si>
    <t>مدیریت(کارخانه)</t>
  </si>
  <si>
    <t>اداری(کارخانه)</t>
  </si>
  <si>
    <t>مهمانسرای شهر بندرعباس (کارخانه)</t>
  </si>
  <si>
    <t>خدمات عمومی تولید (کارخانه)</t>
  </si>
  <si>
    <t>مالی (کارخانه)</t>
  </si>
  <si>
    <t>آشپزخانه(دفتر مرکزی)</t>
  </si>
  <si>
    <t>تدارکات(دفتر مرکزی)</t>
  </si>
  <si>
    <t>بازرگانی(دفتر مرکزی)</t>
  </si>
  <si>
    <t>فنی(دفتر مرکزی)</t>
  </si>
  <si>
    <t>مدیریت عامل(دفتر مرکزی)</t>
  </si>
  <si>
    <t>مالی (دفتر مرکزی)</t>
  </si>
  <si>
    <t>اداری (دفتر مرکزی)</t>
  </si>
  <si>
    <t>هیئت مدیره(دفترمرکزی)</t>
  </si>
  <si>
    <t>تعمیر و نگهداری(کارخانه)</t>
  </si>
  <si>
    <t>سال</t>
  </si>
  <si>
    <t>cell link</t>
  </si>
  <si>
    <t>حمل محصولات و سایر(کارخانه)</t>
  </si>
  <si>
    <t>QC و کنترل کیفیت(کارخانه)</t>
  </si>
  <si>
    <t>شاملو</t>
  </si>
  <si>
    <t>مهمانسرای مدیریت کارخانه بندرعباس (کارخانه)</t>
  </si>
  <si>
    <t>مهمانسرای کارگری کارخانه (کارخانه)</t>
  </si>
  <si>
    <t xml:space="preserve"> </t>
  </si>
  <si>
    <t>شهر</t>
  </si>
  <si>
    <t>جمع حقوق و مزایا</t>
  </si>
  <si>
    <t>درصد(جمع حقوق و مزایا)</t>
  </si>
  <si>
    <t>درصد2</t>
  </si>
  <si>
    <t xml:space="preserve">  </t>
  </si>
  <si>
    <t>Column2</t>
  </si>
  <si>
    <t>محمد پرستش</t>
  </si>
  <si>
    <t>جمعه کاری + تعطیل کاری
(ساعت)</t>
  </si>
  <si>
    <t>مبلغ
جمعه کاری + تعطیل کاری</t>
  </si>
  <si>
    <t>نوع قرارداد</t>
  </si>
  <si>
    <t>ماموریت
(روزانه)</t>
  </si>
  <si>
    <t>قراردادی</t>
  </si>
  <si>
    <t>روزمزدی</t>
  </si>
  <si>
    <t>پیمانکاری</t>
  </si>
  <si>
    <t>تعداد روز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</si>
</sst>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_-* #,##0.00\-;_-* &quot;-&quot;??_-;_-@_-"/>
    <numFmt numFmtId="164" formatCode="#,##0_ ;\-#,##0\ "/>
    <numFmt numFmtId="165" formatCode="#,##0.00_ ;\-#,##0.00\ "/>
  </numFmts>
  <fonts count="16" x14ac:knownFonts="1">
    <font>
      <sz val="14"/>
      <color theme="1"/>
      <name val="B Nazanin"/>
      <family val="2"/>
      <charset val="178"/>
    </font>
    <font>
      <sz val="14"/>
      <color theme="1"/>
      <name val="B Nazanin"/>
      <family val="2"/>
      <charset val="178"/>
    </font>
    <font>
      <sz val="11"/>
      <color theme="1"/>
      <name val="Arial"/>
      <family val="2"/>
      <charset val="178"/>
      <scheme val="minor"/>
    </font>
    <font>
      <b/>
      <sz val="14"/>
      <color indexed="8"/>
      <name val="B Nazanin"/>
      <charset val="178"/>
    </font>
    <font>
      <sz val="14"/>
      <color theme="1"/>
      <name val="B Nazanin"/>
      <charset val="178"/>
    </font>
    <font>
      <sz val="14"/>
      <color indexed="8"/>
      <name val="B Nazanin"/>
      <charset val="178"/>
    </font>
    <font>
      <b/>
      <sz val="14"/>
      <color theme="1"/>
      <name val="B Nazanin"/>
      <charset val="178"/>
    </font>
    <font>
      <b/>
      <sz val="16"/>
      <color rgb="FFFF0000"/>
      <name val="B Nazanin"/>
      <charset val="178"/>
    </font>
    <font>
      <b/>
      <sz val="11"/>
      <color indexed="8"/>
      <name val="B Nazanin"/>
      <charset val="178"/>
    </font>
    <font>
      <sz val="11"/>
      <color theme="1"/>
      <name val="B Nazanin"/>
      <charset val="178"/>
    </font>
    <font>
      <sz val="11"/>
      <color indexed="8"/>
      <name val="B Nazanin"/>
      <charset val="178"/>
    </font>
    <font>
      <b/>
      <sz val="14"/>
      <color theme="0"/>
      <name val="B Nazanin"/>
      <family val="2"/>
      <charset val="178"/>
    </font>
    <font>
      <b/>
      <sz val="12"/>
      <color theme="1"/>
      <name val="B Nazanin"/>
      <charset val="178"/>
    </font>
    <font>
      <b/>
      <sz val="14"/>
      <color theme="1"/>
      <name val="B Nazanin"/>
      <family val="2"/>
      <charset val="178"/>
    </font>
    <font>
      <sz val="8"/>
      <name val="B Nazanin"/>
      <family val="2"/>
      <charset val="178"/>
    </font>
    <font>
      <b/>
      <sz val="11"/>
      <color indexed="8"/>
      <name val="B Nazanin"/>
      <family val="2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46AAC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3DA1B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69">
    <xf numFmtId="0" fontId="0" fillId="0" borderId="0" xfId="0"/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4" fontId="10" fillId="0" borderId="0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3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9" fontId="0" fillId="0" borderId="0" xfId="2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5" fontId="10" fillId="0" borderId="0" xfId="1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readingOrder="2"/>
    </xf>
    <xf numFmtId="0" fontId="0" fillId="0" borderId="0" xfId="0" applyAlignment="1">
      <alignment horizontal="center" vertical="center" readingOrder="2"/>
    </xf>
    <xf numFmtId="0" fontId="3" fillId="2" borderId="0" xfId="0" applyFont="1" applyFill="1" applyBorder="1" applyAlignment="1">
      <alignment horizontal="center" vertical="center" readingOrder="2"/>
    </xf>
    <xf numFmtId="0" fontId="4" fillId="0" borderId="0" xfId="0" applyFont="1" applyBorder="1" applyAlignment="1">
      <alignment horizontal="center" vertical="center" readingOrder="2"/>
    </xf>
    <xf numFmtId="0" fontId="6" fillId="3" borderId="3" xfId="0" applyFont="1" applyFill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4" fillId="0" borderId="0" xfId="0" applyFont="1"/>
    <xf numFmtId="0" fontId="13" fillId="3" borderId="3" xfId="0" applyFont="1" applyFill="1" applyBorder="1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15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B Nazanin"/>
        <charset val="178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B Nazanin"/>
        <charset val="178"/>
        <scheme val="none"/>
      </font>
      <numFmt numFmtId="164" formatCode="#,##0_ ;\-#,##0\ 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B Nazanin"/>
        <charset val="178"/>
        <scheme val="none"/>
      </font>
      <numFmt numFmtId="164" formatCode="#,##0_ ;\-#,##0\ 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B Nazanin"/>
        <charset val="178"/>
        <scheme val="none"/>
      </font>
      <numFmt numFmtId="164" formatCode="#,##0_ ;\-#,##0\ 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B Nazanin"/>
        <charset val="178"/>
        <scheme val="none"/>
      </font>
      <numFmt numFmtId="164" formatCode="#,##0_ ;\-#,##0\ 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B Nazanin"/>
        <charset val="178"/>
        <scheme val="none"/>
      </font>
      <numFmt numFmtId="164" formatCode="#,##0_ ;\-#,##0\ 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B Nazanin"/>
        <charset val="178"/>
        <scheme val="none"/>
      </font>
      <numFmt numFmtId="164" formatCode="#,##0_ ;\-#,##0\ 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B Nazanin"/>
        <charset val="178"/>
        <scheme val="none"/>
      </font>
      <numFmt numFmtId="165" formatCode="#,##0.00_ ;\-#,##0.00\ 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B Nazanin"/>
        <charset val="178"/>
        <scheme val="none"/>
      </font>
      <numFmt numFmtId="164" formatCode="#,##0_ ;\-#,##0\ 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B Nazanin"/>
        <charset val="178"/>
        <scheme val="none"/>
      </font>
      <numFmt numFmtId="165" formatCode="#,##0.00_ ;\-#,##0.00\ 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B Nazanin"/>
        <charset val="178"/>
        <scheme val="none"/>
      </font>
      <numFmt numFmtId="164" formatCode="#,##0_ ;\-#,##0\ 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B Nazanin"/>
        <charset val="178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B Nazanin"/>
        <charset val="178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B Nazanin"/>
        <charset val="178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B Nazanin"/>
        <charset val="178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B Nazanin"/>
        <charset val="178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B Nazanin"/>
        <charset val="178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B Nazanin"/>
        <charset val="178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charset val="17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charset val="17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B Nazanin"/>
        <charset val="178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B Nazanin"/>
        <charset val="178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B Nazanin"/>
        <charset val="178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B Nazanin"/>
        <scheme val="none"/>
      </font>
      <numFmt numFmtId="164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B Nazanin"/>
        <scheme val="none"/>
      </font>
      <numFmt numFmtId="164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B Nazanin"/>
        <scheme val="none"/>
      </font>
      <numFmt numFmtId="164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B Nazanin"/>
        <scheme val="none"/>
      </font>
      <numFmt numFmtId="164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B Nazanin"/>
        <scheme val="none"/>
      </font>
      <numFmt numFmtId="164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B Nazanin"/>
        <charset val="178"/>
        <scheme val="none"/>
      </font>
      <numFmt numFmtId="164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B Nazanin"/>
        <scheme val="none"/>
      </font>
      <numFmt numFmtId="164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B Nazanin"/>
        <scheme val="none"/>
      </font>
      <numFmt numFmtId="165" formatCode="#,##0.00_ ;\-#,##0.0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B Nazanin"/>
        <scheme val="none"/>
      </font>
      <numFmt numFmtId="164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B Nazanin"/>
        <scheme val="none"/>
      </font>
      <numFmt numFmtId="165" formatCode="#,##0.00_ ;\-#,##0.0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B Nazanin"/>
        <scheme val="none"/>
      </font>
      <numFmt numFmtId="164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B Nazanin"/>
        <scheme val="none"/>
      </font>
      <numFmt numFmtId="165" formatCode="#,##0.00_ ;\-#,##0.0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B Nazani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B Nazani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B Nazani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B Nazani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B Nazani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B Nazani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B Nazani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B Nazani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B Nazanin"/>
        <scheme val="none"/>
      </font>
      <alignment horizontal="center" vertical="center" textRotation="0" wrapText="0" indent="0" justifyLastLine="0" shrinkToFit="0" readingOrder="0"/>
    </dxf>
    <dxf>
      <numFmt numFmtId="13" formatCode="0%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13" formatCode="0%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alignment horizontal="center" vertical="bottom" textRotation="0" wrapText="0" indent="0" justifyLastLine="0" shrinkToFit="0" readingOrder="2"/>
    </dxf>
    <dxf>
      <border outline="0"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fill>
        <patternFill patternType="solid">
          <fgColor indexed="64"/>
          <bgColor rgb="FF46AAC2"/>
        </patternFill>
      </fill>
      <alignment horizontal="center" vertical="center" textRotation="0" wrapText="0" indent="0" justifyLastLine="0" shrinkToFit="0" readingOrder="0"/>
    </dxf>
    <dxf>
      <numFmt numFmtId="13" formatCode="0%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13" formatCode="0%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alignment horizontal="center" vertical="bottom" textRotation="0" wrapText="0" indent="0" justifyLastLine="0" shrinkToFit="0" readingOrder="2"/>
    </dxf>
    <dxf>
      <border outline="0"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fill>
        <patternFill patternType="solid">
          <fgColor indexed="64"/>
          <bgColor rgb="FF46AAC2"/>
        </patternFill>
      </fill>
      <alignment horizontal="center" vertical="center" textRotation="0" wrapText="0" indent="0" justifyLastLine="0" shrinkToFit="0" readingOrder="0"/>
    </dxf>
    <dxf>
      <numFmt numFmtId="13" formatCode="0%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13" formatCode="0%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alignment horizontal="center" vertical="bottom" textRotation="0" wrapText="0" indent="0" justifyLastLine="0" shrinkToFit="0" readingOrder="2"/>
    </dxf>
    <dxf>
      <border outline="0"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fill>
        <patternFill patternType="solid">
          <fgColor indexed="64"/>
          <bgColor rgb="FF46AAC2"/>
        </patternFill>
      </fill>
      <alignment horizontal="center" vertical="center" textRotation="0" wrapText="0" indent="0" justifyLastLine="0" shrinkToFit="0" readingOrder="0"/>
    </dxf>
    <dxf>
      <numFmt numFmtId="13" formatCode="0%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13" formatCode="0%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alignment horizontal="center" vertical="bottom" textRotation="0" wrapText="0" indent="0" justifyLastLine="0" shrinkToFit="0" readingOrder="2"/>
    </dxf>
    <dxf>
      <border outline="0"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fill>
        <patternFill patternType="solid">
          <fgColor indexed="64"/>
          <bgColor rgb="FF46AAC2"/>
        </patternFill>
      </fill>
      <alignment horizontal="center" vertical="center" textRotation="0" wrapText="0" indent="0" justifyLastLine="0" shrinkToFit="0" readingOrder="0"/>
    </dxf>
    <dxf>
      <numFmt numFmtId="13" formatCode="0%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13" formatCode="0%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alignment horizontal="center" vertical="bottom" textRotation="0" wrapText="0" indent="0" justifyLastLine="0" shrinkToFit="0" readingOrder="2"/>
    </dxf>
    <dxf>
      <border outline="0"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fill>
        <patternFill patternType="solid">
          <fgColor indexed="64"/>
          <bgColor rgb="FF46AAC2"/>
        </patternFill>
      </fill>
      <alignment horizontal="center" vertical="center" textRotation="0" wrapText="0" indent="0" justifyLastLine="0" shrinkToFit="0" readingOrder="0"/>
    </dxf>
    <dxf>
      <numFmt numFmtId="13" formatCode="0%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13" formatCode="0%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alignment horizontal="center" vertical="bottom" textRotation="0" wrapText="0" indent="0" justifyLastLine="0" shrinkToFit="0" readingOrder="2"/>
    </dxf>
    <dxf>
      <border outline="0"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fill>
        <patternFill patternType="solid">
          <fgColor indexed="64"/>
          <bgColor rgb="FF46AAC2"/>
        </patternFill>
      </fill>
      <alignment horizontal="center" vertical="center" textRotation="0" wrapText="0" indent="0" justifyLastLine="0" shrinkToFit="0" readingOrder="0"/>
    </dxf>
    <dxf>
      <numFmt numFmtId="13" formatCode="0%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13" formatCode="0%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alignment horizontal="center" vertical="bottom" textRotation="0" wrapText="0" indent="0" justifyLastLine="0" shrinkToFit="0" readingOrder="2"/>
    </dxf>
    <dxf>
      <border outline="0"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numFmt numFmtId="13" formatCode="0%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13" formatCode="0%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alignment horizontal="center" vertical="bottom" textRotation="0" wrapText="0" indent="0" justifyLastLine="0" shrinkToFit="0" readingOrder="2"/>
    </dxf>
    <dxf>
      <border outline="0"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fill>
        <patternFill patternType="solid">
          <fgColor indexed="64"/>
          <bgColor rgb="FF46AAC2"/>
        </patternFill>
      </fill>
      <alignment horizontal="center" vertical="center" textRotation="0" wrapText="0" indent="0" justifyLastLine="0" shrinkToFit="0" readingOrder="0"/>
    </dxf>
    <dxf>
      <numFmt numFmtId="13" formatCode="0%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13" formatCode="0%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alignment horizontal="center" vertical="bottom" textRotation="0" wrapText="0" indent="0" justifyLastLine="0" shrinkToFit="0" readingOrder="2"/>
    </dxf>
    <dxf>
      <border outline="0"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fill>
        <patternFill patternType="solid">
          <fgColor indexed="64"/>
          <bgColor rgb="FF46AAC2"/>
        </patternFill>
      </fill>
      <alignment horizontal="center" vertical="center" textRotation="0" wrapText="0" indent="0" justifyLastLine="0" shrinkToFit="0" readingOrder="0"/>
    </dxf>
    <dxf>
      <numFmt numFmtId="13" formatCode="0%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13" formatCode="0%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alignment horizontal="center" vertical="bottom" textRotation="0" wrapText="0" indent="0" justifyLastLine="0" shrinkToFit="0" readingOrder="2"/>
    </dxf>
    <dxf>
      <border outline="0"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fill>
        <patternFill patternType="solid">
          <fgColor indexed="64"/>
          <bgColor rgb="FF46AAC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numFmt numFmtId="13" formatCode="0%"/>
      <alignment horizontal="center" vertical="center" textRotation="0" wrapText="0" indent="0" justifyLastLine="0" shrinkToFit="0" readingOrder="0"/>
    </dxf>
    <dxf>
      <numFmt numFmtId="13" formatCode="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numFmt numFmtId="13" formatCode="0%"/>
      <alignment horizontal="center" vertical="center" textRotation="0" wrapText="0" indent="0" justifyLastLine="0" shrinkToFit="0" readingOrder="0"/>
    </dxf>
    <dxf>
      <numFmt numFmtId="13" formatCode="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name val="B Nazanin"/>
        <scheme val="none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B Nazanin"/>
        <scheme val="none"/>
      </font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B Nazanin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46AAC2"/>
      <color rgb="FFFF0066"/>
      <color rgb="FF008FFA"/>
      <color rgb="FF3DA1B9"/>
      <color rgb="FFD00000"/>
      <color rgb="FFFF2F2F"/>
      <color rgb="FF2D82AD"/>
      <color rgb="FFA27402"/>
      <color rgb="FFFF6600"/>
      <color rgb="FFA4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7528385248513783E-2"/>
          <c:y val="0.14065463236631276"/>
          <c:w val="0.95725340080721721"/>
          <c:h val="0.52636824719276265"/>
        </c:manualLayout>
      </c:layout>
      <c:bar3DChart>
        <c:barDir val="col"/>
        <c:grouping val="clustered"/>
        <c:varyColors val="0"/>
        <c:ser>
          <c:idx val="0"/>
          <c:order val="0"/>
          <c:tx>
            <c:v>درصد کل هزینه ها</c:v>
          </c:tx>
          <c:spPr>
            <a:solidFill>
              <a:srgbClr val="FF0066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5095852721532629E-2"/>
                  <c:y val="-1.2527632307086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A1-4349-962A-01E9C692F65C}"/>
                </c:ext>
              </c:extLst>
            </c:dLbl>
            <c:dLbl>
              <c:idx val="1"/>
              <c:layout>
                <c:manualLayout>
                  <c:x val="-2.5159754535887717E-3"/>
                  <c:y val="-2.5055264614173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A1-4349-962A-01E9C692F65C}"/>
                </c:ext>
              </c:extLst>
            </c:dLbl>
            <c:dLbl>
              <c:idx val="2"/>
              <c:layout>
                <c:manualLayout>
                  <c:x val="-5.0319509071775894E-3"/>
                  <c:y val="-6.26381615354339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9F-419C-A189-6925F355CB53}"/>
                </c:ext>
              </c:extLst>
            </c:dLbl>
            <c:dLbl>
              <c:idx val="3"/>
              <c:layout>
                <c:manualLayout>
                  <c:x val="-2.2643779082298945E-2"/>
                  <c:y val="-5.0110529228347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1A1-4349-962A-01E9C692F65C}"/>
                </c:ext>
              </c:extLst>
            </c:dLbl>
            <c:dLbl>
              <c:idx val="4"/>
              <c:layout>
                <c:manualLayout>
                  <c:x val="-7.5479263607663612E-3"/>
                  <c:y val="-1.2527632307086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9F-419C-A189-6925F355CB53}"/>
                </c:ext>
              </c:extLst>
            </c:dLbl>
            <c:dLbl>
              <c:idx val="5"/>
              <c:layout>
                <c:manualLayout>
                  <c:x val="-7.5479263607663143E-3"/>
                  <c:y val="-1.8791448460630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1A1-4349-962A-01E9C692F65C}"/>
                </c:ext>
              </c:extLst>
            </c:dLbl>
            <c:dLbl>
              <c:idx val="6"/>
              <c:layout>
                <c:manualLayout>
                  <c:x val="-2.5159754535887716E-2"/>
                  <c:y val="-3.1319080767716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5479263607663143E-3"/>
                  <c:y val="-1.2527632307086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5479263607663143E-3"/>
                  <c:y val="-2.5055264614173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9F-419C-A189-6925F355CB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0066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calc!$C$214:$C$231</c:f>
              <c:strCache>
                <c:ptCount val="10"/>
                <c:pt idx="0">
                  <c:v>حراست (کارخانه)</c:v>
                </c:pt>
                <c:pt idx="1">
                  <c:v>آشپزخانه (کارخانه)</c:v>
                </c:pt>
                <c:pt idx="2">
                  <c:v>انبار (کارخانه)</c:v>
                </c:pt>
                <c:pt idx="3">
                  <c:v>فنی تولید (کارخانه)</c:v>
                </c:pt>
                <c:pt idx="4">
                  <c:v>تعمیر و نگهداری(کارخانه)</c:v>
                </c:pt>
                <c:pt idx="5">
                  <c:v>حمل مواد اولیه (کارخانه)</c:v>
                </c:pt>
                <c:pt idx="6">
                  <c:v>بتن سازی(کارخانه)</c:v>
                </c:pt>
                <c:pt idx="7">
                  <c:v>بتن ریزی(کارخانه)</c:v>
                </c:pt>
                <c:pt idx="8">
                  <c:v>آرماتور، میلگرد (کارخانه)</c:v>
                </c:pt>
                <c:pt idx="9">
                  <c:v>اداری(کارخانه)</c:v>
                </c:pt>
              </c:strCache>
            </c:strRef>
          </c:cat>
          <c:val>
            <c:numRef>
              <c:f>calc!$G$214:$G$231</c:f>
              <c:numCache>
                <c:formatCode>0%</c:formatCode>
                <c:ptCount val="10"/>
                <c:pt idx="0">
                  <c:v>0.24968487794386399</c:v>
                </c:pt>
                <c:pt idx="1">
                  <c:v>5.2666174088640168E-2</c:v>
                </c:pt>
                <c:pt idx="2">
                  <c:v>4.5593020577484183E-2</c:v>
                </c:pt>
                <c:pt idx="3">
                  <c:v>0.10049493804665736</c:v>
                </c:pt>
                <c:pt idx="4">
                  <c:v>6.8628464541503537E-2</c:v>
                </c:pt>
                <c:pt idx="5">
                  <c:v>6.6425936967223709E-2</c:v>
                </c:pt>
                <c:pt idx="6">
                  <c:v>0.13680432097836787</c:v>
                </c:pt>
                <c:pt idx="7">
                  <c:v>0.14219569509222366</c:v>
                </c:pt>
                <c:pt idx="8">
                  <c:v>5.4845429580467668E-2</c:v>
                </c:pt>
                <c:pt idx="9">
                  <c:v>8.2661142183567862E-2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1-4349-962A-01E9C692F65C}"/>
            </c:ext>
          </c:extLst>
        </c:ser>
        <c:ser>
          <c:idx val="1"/>
          <c:order val="1"/>
          <c:tx>
            <c:v>درصد سرانه(هر نفر)</c:v>
          </c:tx>
          <c:spPr>
            <a:solidFill>
              <a:srgbClr val="008FFA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2643779082298945E-2"/>
                  <c:y val="-5.0110529228347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A1-4349-962A-01E9C692F65C}"/>
                </c:ext>
              </c:extLst>
            </c:dLbl>
            <c:dLbl>
              <c:idx val="1"/>
              <c:layout>
                <c:manualLayout>
                  <c:x val="1.2579877267943858E-2"/>
                  <c:y val="-6.26381615354339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A1-4349-962A-01E9C692F65C}"/>
                </c:ext>
              </c:extLst>
            </c:dLbl>
            <c:dLbl>
              <c:idx val="5"/>
              <c:layout>
                <c:manualLayout>
                  <c:x val="5.0319509071774507E-3"/>
                  <c:y val="-1.8791448460630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9F-419C-A189-6925F355CB53}"/>
                </c:ext>
              </c:extLst>
            </c:dLbl>
            <c:dLbl>
              <c:idx val="6"/>
              <c:layout>
                <c:manualLayout>
                  <c:x val="1.2579877267943858E-2"/>
                  <c:y val="-1.8791448460630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7675729989476486E-2"/>
                  <c:y val="-4.3846713074803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9F-419C-A189-6925F355CB53}"/>
                </c:ext>
              </c:extLst>
            </c:dLbl>
            <c:dLbl>
              <c:idx val="9"/>
              <c:layout>
                <c:manualLayout>
                  <c:x val="1.2579877267943858E-2"/>
                  <c:y val="-2.5055264614173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calc!$C$214:$C$231</c:f>
              <c:strCache>
                <c:ptCount val="10"/>
                <c:pt idx="0">
                  <c:v>حراست (کارخانه)</c:v>
                </c:pt>
                <c:pt idx="1">
                  <c:v>آشپزخانه (کارخانه)</c:v>
                </c:pt>
                <c:pt idx="2">
                  <c:v>انبار (کارخانه)</c:v>
                </c:pt>
                <c:pt idx="3">
                  <c:v>فنی تولید (کارخانه)</c:v>
                </c:pt>
                <c:pt idx="4">
                  <c:v>تعمیر و نگهداری(کارخانه)</c:v>
                </c:pt>
                <c:pt idx="5">
                  <c:v>حمل مواد اولیه (کارخانه)</c:v>
                </c:pt>
                <c:pt idx="6">
                  <c:v>بتن سازی(کارخانه)</c:v>
                </c:pt>
                <c:pt idx="7">
                  <c:v>بتن ریزی(کارخانه)</c:v>
                </c:pt>
                <c:pt idx="8">
                  <c:v>آرماتور، میلگرد (کارخانه)</c:v>
                </c:pt>
                <c:pt idx="9">
                  <c:v>اداری(کارخانه)</c:v>
                </c:pt>
              </c:strCache>
            </c:strRef>
          </c:cat>
          <c:val>
            <c:numRef>
              <c:f>calc!$K$214:$K$231</c:f>
              <c:numCache>
                <c:formatCode>0%</c:formatCode>
                <c:ptCount val="10"/>
                <c:pt idx="0">
                  <c:v>0.11991799338232473</c:v>
                </c:pt>
                <c:pt idx="1">
                  <c:v>7.5883112760082805E-2</c:v>
                </c:pt>
                <c:pt idx="2">
                  <c:v>6.5691886327855664E-2</c:v>
                </c:pt>
                <c:pt idx="3">
                  <c:v>0.14479632985637544</c:v>
                </c:pt>
                <c:pt idx="4">
                  <c:v>9.8882092794311024E-2</c:v>
                </c:pt>
                <c:pt idx="5">
                  <c:v>9.5708620424835883E-2</c:v>
                </c:pt>
                <c:pt idx="6">
                  <c:v>9.8556026657603824E-2</c:v>
                </c:pt>
                <c:pt idx="7">
                  <c:v>0.10244005902651056</c:v>
                </c:pt>
                <c:pt idx="8">
                  <c:v>7.9023053966767967E-2</c:v>
                </c:pt>
                <c:pt idx="9">
                  <c:v>0.11910082480333201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1-4349-962A-01E9C692F6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gapDepth val="50"/>
        <c:shape val="box"/>
        <c:axId val="516441408"/>
        <c:axId val="462816832"/>
        <c:axId val="0"/>
      </c:bar3DChart>
      <c:catAx>
        <c:axId val="51644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462816832"/>
        <c:crosses val="autoZero"/>
        <c:auto val="1"/>
        <c:lblAlgn val="ctr"/>
        <c:lblOffset val="100"/>
        <c:noMultiLvlLbl val="0"/>
      </c:catAx>
      <c:valAx>
        <c:axId val="4628168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51644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276595744680864E-2"/>
          <c:y val="0"/>
          <c:w val="0.97385207729151779"/>
          <c:h val="0.9849390363763697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46AAC2"/>
            </a:solidFill>
            <a:ln>
              <a:noFill/>
            </a:ln>
            <a:effectLst/>
            <a:sp3d/>
          </c:spPr>
          <c:invertIfNegative val="0"/>
          <c:cat>
            <c:strRef>
              <c:f>calc!$J$42</c:f>
              <c:strCache>
                <c:ptCount val="1"/>
                <c:pt idx="0">
                  <c:v>تهران</c:v>
                </c:pt>
              </c:strCache>
            </c:strRef>
          </c:cat>
          <c:val>
            <c:numRef>
              <c:f>calc!$K$42</c:f>
              <c:numCache>
                <c:formatCode>0%</c:formatCode>
                <c:ptCount val="1"/>
                <c:pt idx="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7D-4C9A-9DFD-2AA1A9FD628F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317D-4C9A-9DFD-2AA1A9FD628F}"/>
              </c:ext>
            </c:extLst>
          </c:dPt>
          <c:cat>
            <c:strRef>
              <c:f>calc!$J$42</c:f>
              <c:strCache>
                <c:ptCount val="1"/>
                <c:pt idx="0">
                  <c:v>تهران</c:v>
                </c:pt>
              </c:strCache>
            </c:strRef>
          </c:cat>
          <c:val>
            <c:numRef>
              <c:f>calc!$L$42</c:f>
              <c:numCache>
                <c:formatCode>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7D-4C9A-9DFD-2AA1A9FD628F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46AAC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17D-4C9A-9DFD-2AA1A9FD628F}"/>
              </c:ext>
            </c:extLst>
          </c:dPt>
          <c:cat>
            <c:strRef>
              <c:f>calc!$J$42</c:f>
              <c:strCache>
                <c:ptCount val="1"/>
                <c:pt idx="0">
                  <c:v>تهران</c:v>
                </c:pt>
              </c:strCache>
            </c:strRef>
          </c:cat>
          <c:val>
            <c:numRef>
              <c:f>calc!$M$42</c:f>
              <c:numCache>
                <c:formatCode>0%</c:formatCode>
                <c:ptCount val="1"/>
                <c:pt idx="0">
                  <c:v>0.25057080950031657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7D-4C9A-9DFD-2AA1A9FD628F}"/>
            </c:ext>
          </c:extLst>
        </c:ser>
        <c:ser>
          <c:idx val="3"/>
          <c:order val="3"/>
          <c:spPr>
            <a:solidFill>
              <a:srgbClr val="46AAC2">
                <a:alpha val="21000"/>
              </a:srgbClr>
            </a:solidFill>
            <a:ln>
              <a:noFill/>
            </a:ln>
            <a:effectLst/>
            <a:sp3d/>
          </c:spPr>
          <c:invertIfNegative val="0"/>
          <c:cat>
            <c:strRef>
              <c:f>calc!$J$42</c:f>
              <c:strCache>
                <c:ptCount val="1"/>
                <c:pt idx="0">
                  <c:v>تهران</c:v>
                </c:pt>
              </c:strCache>
            </c:strRef>
          </c:cat>
          <c:val>
            <c:numRef>
              <c:f>calc!$N$42</c:f>
              <c:numCache>
                <c:formatCode>0%</c:formatCode>
                <c:ptCount val="1"/>
                <c:pt idx="0">
                  <c:v>0.74942919049968348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17D-4C9A-9DFD-2AA1A9FD628F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17D-4C9A-9DFD-2AA1A9FD628F}"/>
              </c:ext>
            </c:extLst>
          </c:dPt>
          <c:cat>
            <c:strRef>
              <c:f>calc!$J$42</c:f>
              <c:strCache>
                <c:ptCount val="1"/>
                <c:pt idx="0">
                  <c:v>تهران</c:v>
                </c:pt>
              </c:strCache>
            </c:strRef>
          </c:cat>
          <c:val>
            <c:numRef>
              <c:f>calc!$O$42</c:f>
              <c:numCache>
                <c:formatCode>0%</c:formatCode>
                <c:ptCount val="1"/>
                <c:pt idx="0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17D-4C9A-9DFD-2AA1A9FD6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shape val="cylinder"/>
        <c:axId val="557227968"/>
        <c:axId val="270554736"/>
        <c:axId val="0"/>
      </c:bar3DChart>
      <c:catAx>
        <c:axId val="5572279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70554736"/>
        <c:crosses val="autoZero"/>
        <c:auto val="1"/>
        <c:lblAlgn val="ctr"/>
        <c:lblOffset val="100"/>
        <c:noMultiLvlLbl val="0"/>
      </c:catAx>
      <c:valAx>
        <c:axId val="27055473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557227968"/>
        <c:crosses val="autoZero"/>
        <c:crossBetween val="between"/>
      </c:valAx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1109167249825053E-2"/>
          <c:y val="9.9320683837250592E-3"/>
          <c:w val="0.97778166550034995"/>
          <c:h val="0.7017821012013233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825C-433D-B03F-80511C5296A1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825C-433D-B03F-80511C5296A1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</c:dPt>
          <c:cat>
            <c:strRef>
              <c:f>calc!$J$28:$J$35</c:f>
              <c:strCache>
                <c:ptCount val="4"/>
                <c:pt idx="0">
                  <c:v>تدارکات(دفتر مرکزی)</c:v>
                </c:pt>
                <c:pt idx="1">
                  <c:v>مدیریت عامل(دفتر مرکزی)</c:v>
                </c:pt>
                <c:pt idx="2">
                  <c:v>مالی (دفتر مرکزی)</c:v>
                </c:pt>
                <c:pt idx="3">
                  <c:v>اداری (دفتر مرکزی)</c:v>
                </c:pt>
              </c:strCache>
            </c:strRef>
          </c:cat>
          <c:val>
            <c:numRef>
              <c:f>calc!$K$28:$K$35</c:f>
              <c:numCache>
                <c:formatCode>0%</c:formatCode>
                <c:ptCount val="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51B-4CB5-B748-CECE1403D492}"/>
            </c:ext>
          </c:extLst>
        </c:ser>
        <c:ser>
          <c:idx val="1"/>
          <c:order val="1"/>
          <c:spPr>
            <a:solidFill>
              <a:schemeClr val="bg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B7A8E78-7C8E-4A19-B412-9A1C9F5258FF}" type="CELLRANGE">
                      <a:rPr lang="fa-IR"/>
                      <a:pPr/>
                      <a:t>[CELLRANGE]</a:t>
                    </a:fld>
                    <a:endParaRPr lang="fa-I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B51B-4CB5-B748-CECE1403D49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E22AA0F-98AA-435F-8FAD-3E179569489B}" type="CELLRANGE">
                      <a:rPr lang="fa-IR"/>
                      <a:pPr/>
                      <a:t>[CELLRANGE]</a:t>
                    </a:fld>
                    <a:endParaRPr lang="fa-I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B51B-4CB5-B748-CECE1403D49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6C31E73-8A34-4ACF-B7E6-71EB462ED096}" type="CELLRANGE">
                      <a:rPr lang="fa-IR"/>
                      <a:pPr/>
                      <a:t>[CELLRANGE]</a:t>
                    </a:fld>
                    <a:endParaRPr lang="fa-I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B51B-4CB5-B748-CECE1403D49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67E1A95-338F-4AF4-9244-F11F9AC69FC1}" type="CELLRANGE">
                      <a:rPr lang="fa-IR"/>
                      <a:pPr/>
                      <a:t>[CELLRANGE]</a:t>
                    </a:fld>
                    <a:endParaRPr lang="fa-I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825C-433D-B03F-80511C5296A1}"/>
                </c:ext>
              </c:extLst>
            </c:dLbl>
            <c:numFmt formatCode="[$-3010000]0" sourceLinked="0"/>
            <c:spPr>
              <a:noFill/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overflow" horzOverflow="overflow" vert="horz" wrap="square" lIns="73152" tIns="19050" rIns="9144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B Nazanin" panose="000004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cat>
            <c:strRef>
              <c:f>calc!$J$28:$J$35</c:f>
              <c:strCache>
                <c:ptCount val="4"/>
                <c:pt idx="0">
                  <c:v>تدارکات(دفتر مرکزی)</c:v>
                </c:pt>
                <c:pt idx="1">
                  <c:v>مدیریت عامل(دفتر مرکزی)</c:v>
                </c:pt>
                <c:pt idx="2">
                  <c:v>مالی (دفتر مرکزی)</c:v>
                </c:pt>
                <c:pt idx="3">
                  <c:v>اداری (دفتر مرکزی)</c:v>
                </c:pt>
              </c:strCache>
            </c:strRef>
          </c:cat>
          <c:val>
            <c:numRef>
              <c:f>calc!$L$28:$L$35</c:f>
              <c:numCache>
                <c:formatCode>0%</c:formatCode>
                <c:ptCount val="4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calc!$M$28:$M$35</c15:f>
                <c15:dlblRangeCache>
                  <c:ptCount val="4"/>
                  <c:pt idx="0">
                    <c:v>21%</c:v>
                  </c:pt>
                  <c:pt idx="1">
                    <c:v>34%</c:v>
                  </c:pt>
                  <c:pt idx="2">
                    <c:v>26%</c:v>
                  </c:pt>
                  <c:pt idx="3">
                    <c:v>19%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9-B51B-4CB5-B748-CECE1403D492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825C-433D-B03F-80511C5296A1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825C-433D-B03F-80511C5296A1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</c:dPt>
          <c:cat>
            <c:strRef>
              <c:f>calc!$J$28:$J$35</c:f>
              <c:strCache>
                <c:ptCount val="4"/>
                <c:pt idx="0">
                  <c:v>تدارکات(دفتر مرکزی)</c:v>
                </c:pt>
                <c:pt idx="1">
                  <c:v>مدیریت عامل(دفتر مرکزی)</c:v>
                </c:pt>
                <c:pt idx="2">
                  <c:v>مالی (دفتر مرکزی)</c:v>
                </c:pt>
                <c:pt idx="3">
                  <c:v>اداری (دفتر مرکزی)</c:v>
                </c:pt>
              </c:strCache>
            </c:strRef>
          </c:cat>
          <c:val>
            <c:numRef>
              <c:f>calc!$M$28:$M$35</c:f>
              <c:numCache>
                <c:formatCode>0%</c:formatCode>
                <c:ptCount val="4"/>
                <c:pt idx="0">
                  <c:v>0.21112582398618068</c:v>
                </c:pt>
                <c:pt idx="1">
                  <c:v>0.33741975283222081</c:v>
                </c:pt>
                <c:pt idx="2">
                  <c:v>0.26450693032689082</c:v>
                </c:pt>
                <c:pt idx="3">
                  <c:v>0.18694749285470769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51B-4CB5-B748-CECE1403D492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50000"/>
                  <a:alpha val="21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825C-433D-B03F-80511C5296A1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>
                  <a:alpha val="21000"/>
                </a:srgb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825C-433D-B03F-80511C5296A1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>
                  <a:alpha val="21000"/>
                </a:srgbClr>
              </a:solidFill>
              <a:ln>
                <a:noFill/>
              </a:ln>
              <a:effectLst/>
              <a:sp3d/>
            </c:spPr>
          </c:dPt>
          <c:cat>
            <c:strRef>
              <c:f>calc!$J$28:$J$35</c:f>
              <c:strCache>
                <c:ptCount val="4"/>
                <c:pt idx="0">
                  <c:v>تدارکات(دفتر مرکزی)</c:v>
                </c:pt>
                <c:pt idx="1">
                  <c:v>مدیریت عامل(دفتر مرکزی)</c:v>
                </c:pt>
                <c:pt idx="2">
                  <c:v>مالی (دفتر مرکزی)</c:v>
                </c:pt>
                <c:pt idx="3">
                  <c:v>اداری (دفتر مرکزی)</c:v>
                </c:pt>
              </c:strCache>
            </c:strRef>
          </c:cat>
          <c:val>
            <c:numRef>
              <c:f>calc!$N$28:$N$35</c:f>
              <c:numCache>
                <c:formatCode>0%</c:formatCode>
                <c:ptCount val="4"/>
                <c:pt idx="0">
                  <c:v>0.78887417601381937</c:v>
                </c:pt>
                <c:pt idx="1">
                  <c:v>0.66258024716777919</c:v>
                </c:pt>
                <c:pt idx="2">
                  <c:v>0.73549306967310923</c:v>
                </c:pt>
                <c:pt idx="3">
                  <c:v>0.81305250714529231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B51B-4CB5-B748-CECE1403D492}"/>
            </c:ext>
          </c:extLst>
        </c:ser>
        <c:ser>
          <c:idx val="4"/>
          <c:order val="4"/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calc!$J$28:$J$35</c:f>
              <c:strCache>
                <c:ptCount val="4"/>
                <c:pt idx="0">
                  <c:v>تدارکات(دفتر مرکزی)</c:v>
                </c:pt>
                <c:pt idx="1">
                  <c:v>مدیریت عامل(دفتر مرکزی)</c:v>
                </c:pt>
                <c:pt idx="2">
                  <c:v>مالی (دفتر مرکزی)</c:v>
                </c:pt>
                <c:pt idx="3">
                  <c:v>اداری (دفتر مرکزی)</c:v>
                </c:pt>
              </c:strCache>
            </c:strRef>
          </c:cat>
          <c:val>
            <c:numRef>
              <c:f>calc!$O$28:$O$35</c:f>
              <c:numCache>
                <c:formatCode>0%</c:formatCode>
                <c:ptCount val="4"/>
                <c:pt idx="0">
                  <c:v>0.15</c:v>
                </c:pt>
                <c:pt idx="1">
                  <c:v>0.15</c:v>
                </c:pt>
                <c:pt idx="2">
                  <c:v>0.15</c:v>
                </c:pt>
                <c:pt idx="3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B51B-4CB5-B748-CECE1403D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gapDepth val="60"/>
        <c:shape val="cylinder"/>
        <c:axId val="613659600"/>
        <c:axId val="440049360"/>
        <c:axId val="0"/>
      </c:bar3DChart>
      <c:catAx>
        <c:axId val="61365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440049360"/>
        <c:crosses val="autoZero"/>
        <c:auto val="1"/>
        <c:lblAlgn val="ctr"/>
        <c:lblOffset val="100"/>
        <c:noMultiLvlLbl val="0"/>
      </c:catAx>
      <c:valAx>
        <c:axId val="44004936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613659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dLbls>
            <c:numFmt formatCode="[$-3010000]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B Nazanin" panose="00000400000000000000" pitchFamily="2" charset="-78"/>
                  </a:defRPr>
                </a:pPr>
                <a:endParaRPr lang="fa-I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calc!$C$28:$C$35</c:f>
              <c:strCache>
                <c:ptCount val="4"/>
                <c:pt idx="0">
                  <c:v>تدارکات(دفتر مرکزی)</c:v>
                </c:pt>
                <c:pt idx="1">
                  <c:v>مدیریت عامل(دفتر مرکزی)</c:v>
                </c:pt>
                <c:pt idx="2">
                  <c:v>مالی (دفتر مرکزی)</c:v>
                </c:pt>
                <c:pt idx="3">
                  <c:v>اداری (دفتر مرکزی)</c:v>
                </c:pt>
              </c:strCache>
            </c:strRef>
          </c:cat>
          <c:val>
            <c:numRef>
              <c:f>calc!$D$28:$D$35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48-4187-BF72-C8D0471B4F19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1199584"/>
        <c:axId val="423750752"/>
      </c:barChart>
      <c:catAx>
        <c:axId val="4611995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23750752"/>
        <c:crosses val="autoZero"/>
        <c:auto val="1"/>
        <c:lblAlgn val="ctr"/>
        <c:lblOffset val="100"/>
        <c:noMultiLvlLbl val="0"/>
      </c:catAx>
      <c:valAx>
        <c:axId val="423750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61199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bg1">
              <a:lumMod val="50000"/>
            </a:schemeClr>
          </a:solidFill>
          <a:cs typeface="B Nazanin" panose="00000400000000000000" pitchFamily="2" charset="-78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dLbls>
            <c:numFmt formatCode="[$-3010000]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B Nazanin" panose="00000400000000000000" pitchFamily="2" charset="-78"/>
                  </a:defRPr>
                </a:pPr>
                <a:endParaRPr lang="fa-I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calc!$C$5:$C$22</c:f>
              <c:strCache>
                <c:ptCount val="10"/>
                <c:pt idx="0">
                  <c:v>حراست (کارخانه)</c:v>
                </c:pt>
                <c:pt idx="1">
                  <c:v>آشپزخانه (کارخانه)</c:v>
                </c:pt>
                <c:pt idx="2">
                  <c:v>انبار (کارخانه)</c:v>
                </c:pt>
                <c:pt idx="3">
                  <c:v>فنی تولید (کارخانه)</c:v>
                </c:pt>
                <c:pt idx="4">
                  <c:v>تعمیر و نگهداری(کارخانه)</c:v>
                </c:pt>
                <c:pt idx="5">
                  <c:v>حمل مواد اولیه (کارخانه)</c:v>
                </c:pt>
                <c:pt idx="6">
                  <c:v>بتن سازی(کارخانه)</c:v>
                </c:pt>
                <c:pt idx="7">
                  <c:v>بتن ریزی(کارخانه)</c:v>
                </c:pt>
                <c:pt idx="8">
                  <c:v>آرماتور، میلگرد (کارخانه)</c:v>
                </c:pt>
                <c:pt idx="9">
                  <c:v>اداری(کارخانه)</c:v>
                </c:pt>
              </c:strCache>
            </c:strRef>
          </c:cat>
          <c:val>
            <c:numRef>
              <c:f>calc!$D$5:$D$22</c:f>
              <c:numCache>
                <c:formatCode>General</c:formatCode>
                <c:ptCount val="10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46-4295-9362-93A0A2F53015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9962224"/>
        <c:axId val="419343696"/>
      </c:barChart>
      <c:catAx>
        <c:axId val="419962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19343696"/>
        <c:crosses val="autoZero"/>
        <c:auto val="1"/>
        <c:lblAlgn val="ctr"/>
        <c:lblOffset val="100"/>
        <c:noMultiLvlLbl val="0"/>
      </c:catAx>
      <c:valAx>
        <c:axId val="4193436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19962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cs typeface="B Nazanin" panose="00000400000000000000" pitchFamily="2" charset="-78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799227513399151E-3"/>
          <c:y val="0.22437116542438532"/>
          <c:w val="0.98996105983187732"/>
          <c:h val="0.66452773177367486"/>
        </c:manualLayout>
      </c:layout>
      <c:bar3DChart>
        <c:barDir val="col"/>
        <c:grouping val="clustered"/>
        <c:varyColors val="0"/>
        <c:ser>
          <c:idx val="0"/>
          <c:order val="0"/>
          <c:tx>
            <c:v>درصد کل جمعه کاری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0066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calc!$C$120:$C$127</c:f>
            </c:strRef>
          </c:cat>
          <c:val>
            <c:numRef>
              <c:f>calc!$G$120:$G$127</c:f>
            </c:numRef>
          </c:val>
          <c:extLst>
            <c:ext xmlns:c16="http://schemas.microsoft.com/office/drawing/2014/chart" uri="{C3380CC4-5D6E-409C-BE32-E72D297353CC}">
              <c16:uniqueId val="{00000000-33D7-47F5-8CEF-C4B233173D5E}"/>
            </c:ext>
          </c:extLst>
        </c:ser>
        <c:ser>
          <c:idx val="1"/>
          <c:order val="1"/>
          <c:tx>
            <c:v>درصد سرانه (هرنفر)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calc!$C$120:$C$127</c:f>
            </c:strRef>
          </c:cat>
          <c:val>
            <c:numRef>
              <c:f>calc!$M$120:$M$127</c:f>
            </c:numRef>
          </c:val>
          <c:extLst>
            <c:ext xmlns:c16="http://schemas.microsoft.com/office/drawing/2014/chart" uri="{C3380CC4-5D6E-409C-BE32-E72D297353CC}">
              <c16:uniqueId val="{00000001-33D7-47F5-8CEF-C4B233173D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gapDepth val="50"/>
        <c:shape val="box"/>
        <c:axId val="516441408"/>
        <c:axId val="462816832"/>
        <c:axId val="0"/>
      </c:bar3DChart>
      <c:catAx>
        <c:axId val="51644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462816832"/>
        <c:crosses val="autoZero"/>
        <c:auto val="1"/>
        <c:lblAlgn val="ctr"/>
        <c:lblOffset val="100"/>
        <c:noMultiLvlLbl val="0"/>
      </c:catAx>
      <c:valAx>
        <c:axId val="4628168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51644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8207674557188343E-3"/>
          <c:y val="0.18793259056230396"/>
          <c:w val="0.98996105983187732"/>
          <c:h val="0.69206526502726839"/>
        </c:manualLayout>
      </c:layout>
      <c:bar3DChart>
        <c:barDir val="col"/>
        <c:grouping val="clustered"/>
        <c:varyColors val="0"/>
        <c:ser>
          <c:idx val="0"/>
          <c:order val="0"/>
          <c:tx>
            <c:v>درصد کل ماموریت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0066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calc!$C$198:$C$205</c:f>
              <c:strCache>
                <c:ptCount val="1"/>
                <c:pt idx="0">
                  <c:v>مدیریت عامل(دفتر مرکزی)</c:v>
                </c:pt>
              </c:strCache>
            </c:strRef>
          </c:cat>
          <c:val>
            <c:numRef>
              <c:f>calc!$G$198:$G$205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B-4172-87AF-2D40924E99E7}"/>
            </c:ext>
          </c:extLst>
        </c:ser>
        <c:ser>
          <c:idx val="1"/>
          <c:order val="1"/>
          <c:tx>
            <c:v>درصد سرانه (هرنفر)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calc!$C$198:$C$205</c:f>
              <c:strCache>
                <c:ptCount val="1"/>
                <c:pt idx="0">
                  <c:v>مدیریت عامل(دفتر مرکزی)</c:v>
                </c:pt>
              </c:strCache>
            </c:strRef>
          </c:cat>
          <c:val>
            <c:numRef>
              <c:f>calc!$K$198:$K$205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8B-4172-87AF-2D40924E99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gapDepth val="50"/>
        <c:shape val="box"/>
        <c:axId val="516441408"/>
        <c:axId val="462816832"/>
        <c:axId val="0"/>
      </c:bar3DChart>
      <c:catAx>
        <c:axId val="51644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462816832"/>
        <c:crosses val="autoZero"/>
        <c:auto val="1"/>
        <c:lblAlgn val="ctr"/>
        <c:lblOffset val="100"/>
        <c:noMultiLvlLbl val="0"/>
      </c:catAx>
      <c:valAx>
        <c:axId val="4628168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51644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8207674557188317E-3"/>
          <c:y val="0.18513716838734889"/>
          <c:w val="0.98996105983187732"/>
          <c:h val="0.7042990119232696"/>
        </c:manualLayout>
      </c:layout>
      <c:bar3DChart>
        <c:barDir val="col"/>
        <c:grouping val="clustered"/>
        <c:varyColors val="0"/>
        <c:ser>
          <c:idx val="0"/>
          <c:order val="0"/>
          <c:tx>
            <c:v>درصد کل ماموریت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0066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calc!$C$175:$C$192</c:f>
            </c:strRef>
          </c:cat>
          <c:val>
            <c:numRef>
              <c:f>calc!$G$175:$G$192</c:f>
            </c:numRef>
          </c:val>
          <c:extLst>
            <c:ext xmlns:c16="http://schemas.microsoft.com/office/drawing/2014/chart" uri="{C3380CC4-5D6E-409C-BE32-E72D297353CC}">
              <c16:uniqueId val="{00000000-5D4B-4A69-BFE7-4512D3FA2C69}"/>
            </c:ext>
          </c:extLst>
        </c:ser>
        <c:ser>
          <c:idx val="1"/>
          <c:order val="1"/>
          <c:tx>
            <c:v>درصد سرانه (هرنفر)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calc!$C$175:$C$192</c:f>
            </c:strRef>
          </c:cat>
          <c:val>
            <c:numRef>
              <c:f>calc!$K$175:$K$192</c:f>
            </c:numRef>
          </c:val>
          <c:extLst>
            <c:ext xmlns:c16="http://schemas.microsoft.com/office/drawing/2014/chart" uri="{C3380CC4-5D6E-409C-BE32-E72D297353CC}">
              <c16:uniqueId val="{00000001-5D4B-4A69-BFE7-4512D3FA2C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gapDepth val="50"/>
        <c:shape val="box"/>
        <c:axId val="516441408"/>
        <c:axId val="462816832"/>
        <c:axId val="0"/>
      </c:bar3DChart>
      <c:catAx>
        <c:axId val="51644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462816832"/>
        <c:crosses val="autoZero"/>
        <c:auto val="1"/>
        <c:lblAlgn val="ctr"/>
        <c:lblOffset val="100"/>
        <c:noMultiLvlLbl val="0"/>
      </c:catAx>
      <c:valAx>
        <c:axId val="4628168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51644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0413217174576269E-3"/>
          <c:y val="0.14065463236631276"/>
          <c:w val="0.98674048379218915"/>
          <c:h val="0.75168640937215891"/>
        </c:manualLayout>
      </c:layout>
      <c:bar3DChart>
        <c:barDir val="col"/>
        <c:grouping val="clustered"/>
        <c:varyColors val="0"/>
        <c:ser>
          <c:idx val="0"/>
          <c:order val="0"/>
          <c:tx>
            <c:v>درصد کل هزینه ها</c:v>
          </c:tx>
          <c:spPr>
            <a:solidFill>
              <a:srgbClr val="FF0066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-8.0419549422562301E-3"/>
                  <c:y val="-0.109614211679140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6F-409D-A0DC-C95609530F00}"/>
                </c:ext>
              </c:extLst>
            </c:dLbl>
            <c:dLbl>
              <c:idx val="2"/>
              <c:layout>
                <c:manualLayout>
                  <c:x val="-1.8764561531931206E-2"/>
                  <c:y val="-9.1345176399283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6F-409D-A0DC-C95609530F00}"/>
                </c:ext>
              </c:extLst>
            </c:dLbl>
            <c:dLbl>
              <c:idx val="3"/>
              <c:layout>
                <c:manualLayout>
                  <c:x val="-1.3403258237093717E-2"/>
                  <c:y val="-6.6986462692807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0066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calc!$C$237:$C$244</c:f>
              <c:strCache>
                <c:ptCount val="4"/>
                <c:pt idx="0">
                  <c:v>تدارکات(دفتر مرکزی)</c:v>
                </c:pt>
                <c:pt idx="1">
                  <c:v>مدیریت عامل(دفتر مرکزی)</c:v>
                </c:pt>
                <c:pt idx="2">
                  <c:v>مالی (دفتر مرکزی)</c:v>
                </c:pt>
                <c:pt idx="3">
                  <c:v>اداری (دفتر مرکزی)</c:v>
                </c:pt>
              </c:strCache>
            </c:strRef>
          </c:cat>
          <c:val>
            <c:numRef>
              <c:f>calc!$G$237:$G$244</c:f>
              <c:numCache>
                <c:formatCode>0%</c:formatCode>
                <c:ptCount val="4"/>
                <c:pt idx="0">
                  <c:v>0.20740180592785093</c:v>
                </c:pt>
                <c:pt idx="1">
                  <c:v>0.34820830939317921</c:v>
                </c:pt>
                <c:pt idx="2">
                  <c:v>0.26158349664130737</c:v>
                </c:pt>
                <c:pt idx="3">
                  <c:v>0.1828063880376625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E-42E6-AE93-585591FDC463}"/>
            </c:ext>
          </c:extLst>
        </c:ser>
        <c:ser>
          <c:idx val="1"/>
          <c:order val="1"/>
          <c:tx>
            <c:v>درصد سرانه (هرنفر)</c:v>
          </c:tx>
          <c:spPr>
            <a:solidFill>
              <a:srgbClr val="008FFA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2.9487168121606178E-2"/>
                  <c:y val="-7.9165819546045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6F-409D-A0DC-C95609530F00}"/>
                </c:ext>
              </c:extLst>
            </c:dLbl>
            <c:dLbl>
              <c:idx val="2"/>
              <c:layout>
                <c:manualLayout>
                  <c:x val="2.4125864826768595E-2"/>
                  <c:y val="-5.48071058395700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6F-409D-A0DC-C95609530F00}"/>
                </c:ext>
              </c:extLst>
            </c:dLbl>
            <c:dLbl>
              <c:idx val="3"/>
              <c:layout>
                <c:manualLayout>
                  <c:x val="2.1445213179349751E-2"/>
                  <c:y val="-5.48071058395700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calc!$C$237:$C$244</c:f>
              <c:strCache>
                <c:ptCount val="4"/>
                <c:pt idx="0">
                  <c:v>تدارکات(دفتر مرکزی)</c:v>
                </c:pt>
                <c:pt idx="1">
                  <c:v>مدیریت عامل(دفتر مرکزی)</c:v>
                </c:pt>
                <c:pt idx="2">
                  <c:v>مالی (دفتر مرکزی)</c:v>
                </c:pt>
                <c:pt idx="3">
                  <c:v>اداری (دفتر مرکزی)</c:v>
                </c:pt>
              </c:strCache>
            </c:strRef>
          </c:cat>
          <c:val>
            <c:numRef>
              <c:f>calc!$K$237:$K$244</c:f>
              <c:numCache>
                <c:formatCode>0%</c:formatCode>
                <c:ptCount val="4"/>
                <c:pt idx="0">
                  <c:v>0.20740180592785093</c:v>
                </c:pt>
                <c:pt idx="1">
                  <c:v>0.34820830939317921</c:v>
                </c:pt>
                <c:pt idx="2">
                  <c:v>0.26158349664130737</c:v>
                </c:pt>
                <c:pt idx="3">
                  <c:v>0.1828063880376625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BE-42E6-AE93-585591FDC4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gapDepth val="50"/>
        <c:shape val="box"/>
        <c:axId val="516441408"/>
        <c:axId val="462816832"/>
        <c:axId val="0"/>
      </c:bar3DChart>
      <c:catAx>
        <c:axId val="51644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462816832"/>
        <c:crosses val="autoZero"/>
        <c:auto val="1"/>
        <c:lblAlgn val="ctr"/>
        <c:lblOffset val="100"/>
        <c:noMultiLvlLbl val="0"/>
      </c:catAx>
      <c:valAx>
        <c:axId val="4628168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51644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7528385248513783E-2"/>
          <c:y val="0.14065463236631276"/>
          <c:w val="0.95725340080721721"/>
          <c:h val="0.52636824719276265"/>
        </c:manualLayout>
      </c:layout>
      <c:bar3DChart>
        <c:barDir val="col"/>
        <c:grouping val="clustered"/>
        <c:varyColors val="0"/>
        <c:ser>
          <c:idx val="0"/>
          <c:order val="0"/>
          <c:tx>
            <c:v>درصد کل اضافه کاری</c:v>
          </c:tx>
          <c:spPr>
            <a:solidFill>
              <a:srgbClr val="FF0066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6.7507775180489296E-2"/>
                  <c:y val="-6.34488602186637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96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FF006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a-I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0098658030543427E-2"/>
                      <c:h val="7.194201473612268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EFAF-4E01-A0BB-5D170D779D79}"/>
                </c:ext>
              </c:extLst>
            </c:dLbl>
            <c:dLbl>
              <c:idx val="1"/>
              <c:layout>
                <c:manualLayout>
                  <c:x val="-7.9462010901937864E-3"/>
                  <c:y val="-8.24835182842628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AF-4E01-A0BB-5D170D779D79}"/>
                </c:ext>
              </c:extLst>
            </c:dLbl>
            <c:dLbl>
              <c:idx val="2"/>
              <c:layout>
                <c:manualLayout>
                  <c:x val="-5.2974673934625084E-3"/>
                  <c:y val="-3.1724430109331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33-45BC-BB95-A9933EE47BF0}"/>
                </c:ext>
              </c:extLst>
            </c:dLbl>
            <c:dLbl>
              <c:idx val="3"/>
              <c:layout>
                <c:manualLayout>
                  <c:x val="-3.1784804360775097E-2"/>
                  <c:y val="-0.101518176349862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AF-4E01-A0BB-5D170D779D79}"/>
                </c:ext>
              </c:extLst>
            </c:dLbl>
            <c:dLbl>
              <c:idx val="4"/>
              <c:layout>
                <c:manualLayout>
                  <c:x val="0"/>
                  <c:y val="-8.8828404306129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33-45BC-BB95-A9933EE47BF0}"/>
                </c:ext>
              </c:extLst>
            </c:dLbl>
            <c:dLbl>
              <c:idx val="6"/>
              <c:layout>
                <c:manualLayout>
                  <c:x val="-1.8541135877118777E-2"/>
                  <c:y val="-5.0759088174931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AF-4E01-A0BB-5D170D779D79}"/>
                </c:ext>
              </c:extLst>
            </c:dLbl>
            <c:dLbl>
              <c:idx val="7"/>
              <c:layout>
                <c:manualLayout>
                  <c:x val="-1.5892402180387621E-2"/>
                  <c:y val="-5.0759088174931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33-45BC-BB95-A9933EE47BF0}"/>
                </c:ext>
              </c:extLst>
            </c:dLbl>
            <c:dLbl>
              <c:idx val="8"/>
              <c:layout>
                <c:manualLayout>
                  <c:x val="-2.6487336967312542E-3"/>
                  <c:y val="-3.8069316131198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33-45BC-BB95-A9933EE47BF0}"/>
                </c:ext>
              </c:extLst>
            </c:dLbl>
            <c:dLbl>
              <c:idx val="9"/>
              <c:layout>
                <c:manualLayout>
                  <c:x val="2.648733696731157E-3"/>
                  <c:y val="-9.5173290327995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0066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calc!$C$51:$C$68</c:f>
              <c:strCache>
                <c:ptCount val="10"/>
                <c:pt idx="0">
                  <c:v>حراست (کارخانه)</c:v>
                </c:pt>
                <c:pt idx="1">
                  <c:v>آشپزخانه (کارخانه)</c:v>
                </c:pt>
                <c:pt idx="2">
                  <c:v>انبار (کارخانه)</c:v>
                </c:pt>
                <c:pt idx="3">
                  <c:v>فنی تولید (کارخانه)</c:v>
                </c:pt>
                <c:pt idx="4">
                  <c:v>تعمیر و نگهداری(کارخانه)</c:v>
                </c:pt>
                <c:pt idx="5">
                  <c:v>حمل مواد اولیه (کارخانه)</c:v>
                </c:pt>
                <c:pt idx="6">
                  <c:v>بتن سازی(کارخانه)</c:v>
                </c:pt>
                <c:pt idx="7">
                  <c:v>بتن ریزی(کارخانه)</c:v>
                </c:pt>
                <c:pt idx="8">
                  <c:v>آرماتور، میلگرد (کارخانه)</c:v>
                </c:pt>
                <c:pt idx="9">
                  <c:v>اداری(کارخانه)</c:v>
                </c:pt>
              </c:strCache>
            </c:strRef>
          </c:cat>
          <c:val>
            <c:numRef>
              <c:f>calc!$G$51:$G$68</c:f>
              <c:numCache>
                <c:formatCode>0.00%</c:formatCode>
                <c:ptCount val="10"/>
                <c:pt idx="0">
                  <c:v>0.45545218465020104</c:v>
                </c:pt>
                <c:pt idx="1">
                  <c:v>3.495708373530701E-2</c:v>
                </c:pt>
                <c:pt idx="2">
                  <c:v>3.0553348942812461E-2</c:v>
                </c:pt>
                <c:pt idx="3">
                  <c:v>7.4012210379373736E-2</c:v>
                </c:pt>
                <c:pt idx="4">
                  <c:v>4.4528568715111454E-2</c:v>
                </c:pt>
                <c:pt idx="5" formatCode="0%">
                  <c:v>9.5093575812275743E-3</c:v>
                </c:pt>
                <c:pt idx="6">
                  <c:v>0.11171774688587408</c:v>
                </c:pt>
                <c:pt idx="7">
                  <c:v>0.11868272674604392</c:v>
                </c:pt>
                <c:pt idx="8">
                  <c:v>2.7540174080621559E-2</c:v>
                </c:pt>
                <c:pt idx="9">
                  <c:v>9.3046598283427207E-2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FAF-4E01-A0BB-5D170D779D79}"/>
            </c:ext>
          </c:extLst>
        </c:ser>
        <c:ser>
          <c:idx val="1"/>
          <c:order val="1"/>
          <c:tx>
            <c:v>درصد سرانه (هرنفر)</c:v>
          </c:tx>
          <c:spPr>
            <a:solidFill>
              <a:srgbClr val="008FFA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5.5623407631356335E-2"/>
                  <c:y val="-0.107863062371728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2557550517817013E-2"/>
                      <c:h val="8.0992719867786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EFAF-4E01-A0BB-5D170D779D79}"/>
                </c:ext>
              </c:extLst>
            </c:dLbl>
            <c:dLbl>
              <c:idx val="1"/>
              <c:layout>
                <c:manualLayout>
                  <c:x val="2.3838603270581238E-2"/>
                  <c:y val="-3.1724430109331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AF-4E01-A0BB-5D170D779D79}"/>
                </c:ext>
              </c:extLst>
            </c:dLbl>
            <c:dLbl>
              <c:idx val="2"/>
              <c:layout>
                <c:manualLayout>
                  <c:x val="1.324366848365627E-2"/>
                  <c:y val="-1.903465806559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33-45BC-BB95-A9933EE47BF0}"/>
                </c:ext>
              </c:extLst>
            </c:dLbl>
            <c:dLbl>
              <c:idx val="3"/>
              <c:layout>
                <c:manualLayout>
                  <c:x val="2.1189869573849985E-2"/>
                  <c:y val="-4.4414202153064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AF-4E01-A0BB-5D170D779D79}"/>
                </c:ext>
              </c:extLst>
            </c:dLbl>
            <c:dLbl>
              <c:idx val="4"/>
              <c:layout>
                <c:manualLayout>
                  <c:x val="1.5892402180387524E-2"/>
                  <c:y val="-2.537954408746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33-45BC-BB95-A9933EE47BF0}"/>
                </c:ext>
              </c:extLst>
            </c:dLbl>
            <c:dLbl>
              <c:idx val="6"/>
              <c:layout>
                <c:manualLayout>
                  <c:x val="1.324366848365627E-2"/>
                  <c:y val="-1.903465806559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FAF-4E01-A0BB-5D170D779D79}"/>
                </c:ext>
              </c:extLst>
            </c:dLbl>
            <c:dLbl>
              <c:idx val="7"/>
              <c:layout>
                <c:manualLayout>
                  <c:x val="1.5892402180387427E-2"/>
                  <c:y val="-5.71039741967973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333-45BC-BB95-A9933EE47BF0}"/>
                </c:ext>
              </c:extLst>
            </c:dLbl>
            <c:dLbl>
              <c:idx val="8"/>
              <c:layout>
                <c:manualLayout>
                  <c:x val="1.0594934786925017E-2"/>
                  <c:y val="-4.4414202153064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33-45BC-BB95-A9933EE47BF0}"/>
                </c:ext>
              </c:extLst>
            </c:dLbl>
            <c:dLbl>
              <c:idx val="9"/>
              <c:layout>
                <c:manualLayout>
                  <c:x val="2.9136070664043796E-2"/>
                  <c:y val="-5.0759088174931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calc!$C$51:$C$68</c:f>
              <c:strCache>
                <c:ptCount val="10"/>
                <c:pt idx="0">
                  <c:v>حراست (کارخانه)</c:v>
                </c:pt>
                <c:pt idx="1">
                  <c:v>آشپزخانه (کارخانه)</c:v>
                </c:pt>
                <c:pt idx="2">
                  <c:v>انبار (کارخانه)</c:v>
                </c:pt>
                <c:pt idx="3">
                  <c:v>فنی تولید (کارخانه)</c:v>
                </c:pt>
                <c:pt idx="4">
                  <c:v>تعمیر و نگهداری(کارخانه)</c:v>
                </c:pt>
                <c:pt idx="5">
                  <c:v>حمل مواد اولیه (کارخانه)</c:v>
                </c:pt>
                <c:pt idx="6">
                  <c:v>بتن سازی(کارخانه)</c:v>
                </c:pt>
                <c:pt idx="7">
                  <c:v>بتن ریزی(کارخانه)</c:v>
                </c:pt>
                <c:pt idx="8">
                  <c:v>آرماتور، میلگرد (کارخانه)</c:v>
                </c:pt>
                <c:pt idx="9">
                  <c:v>اداری(کارخانه)</c:v>
                </c:pt>
              </c:strCache>
            </c:strRef>
          </c:cat>
          <c:val>
            <c:numRef>
              <c:f>calc!$M$51:$M$68</c:f>
              <c:numCache>
                <c:formatCode>0%</c:formatCode>
                <c:ptCount val="10"/>
                <c:pt idx="0">
                  <c:v>0.26122943024373368</c:v>
                </c:pt>
                <c:pt idx="1">
                  <c:v>6.0150018212143691E-2</c:v>
                </c:pt>
                <c:pt idx="2">
                  <c:v>5.2572591846269189E-2</c:v>
                </c:pt>
                <c:pt idx="3">
                  <c:v>0.12735146432549638</c:v>
                </c:pt>
                <c:pt idx="4">
                  <c:v>7.661949833845666E-2</c:v>
                </c:pt>
                <c:pt idx="5">
                  <c:v>1.6362578641504685E-2</c:v>
                </c:pt>
                <c:pt idx="6">
                  <c:v>9.6115347617196867E-2</c:v>
                </c:pt>
                <c:pt idx="7">
                  <c:v>0.10210760470318048</c:v>
                </c:pt>
                <c:pt idx="8">
                  <c:v>4.7387876662087526E-2</c:v>
                </c:pt>
                <c:pt idx="9">
                  <c:v>0.1601035894099308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FAF-4E01-A0BB-5D170D779D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gapDepth val="50"/>
        <c:shape val="box"/>
        <c:axId val="516441408"/>
        <c:axId val="462816832"/>
        <c:axId val="0"/>
      </c:bar3DChart>
      <c:catAx>
        <c:axId val="51644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462816832"/>
        <c:crosses val="autoZero"/>
        <c:auto val="1"/>
        <c:lblAlgn val="ctr"/>
        <c:lblOffset val="100"/>
        <c:noMultiLvlLbl val="0"/>
      </c:catAx>
      <c:valAx>
        <c:axId val="4628168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51644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4065463236631276"/>
          <c:w val="0.99483408054600531"/>
          <c:h val="0.73791683032972444"/>
        </c:manualLayout>
      </c:layout>
      <c:bar3DChart>
        <c:barDir val="col"/>
        <c:grouping val="clustered"/>
        <c:varyColors val="0"/>
        <c:ser>
          <c:idx val="0"/>
          <c:order val="0"/>
          <c:tx>
            <c:v>درصد کل پرداختی</c:v>
          </c:tx>
          <c:spPr>
            <a:solidFill>
              <a:srgbClr val="FF0066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-2.9496656552924036E-2"/>
                  <c:y val="-0.10842199347494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C9-41AE-BC1B-425A4E461D74}"/>
                </c:ext>
              </c:extLst>
            </c:dLbl>
            <c:dLbl>
              <c:idx val="2"/>
              <c:layout>
                <c:manualLayout>
                  <c:x val="-4.8037743896388076E-2"/>
                  <c:y val="-0.122602473432813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2.648733696731157E-3"/>
                  <c:y val="-9.5173290327995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48-4166-9D4E-903FE8C958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0066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calc!$C$74:$C$81</c:f>
              <c:strCache>
                <c:ptCount val="3"/>
                <c:pt idx="0">
                  <c:v>تدارکات(دفتر مرکزی)</c:v>
                </c:pt>
                <c:pt idx="1">
                  <c:v>مالی (دفتر مرکزی)</c:v>
                </c:pt>
                <c:pt idx="2">
                  <c:v>اداری (دفتر مرکزی)</c:v>
                </c:pt>
              </c:strCache>
            </c:strRef>
          </c:cat>
          <c:val>
            <c:numRef>
              <c:f>calc!$G$74:$G$81</c:f>
              <c:numCache>
                <c:formatCode>0%</c:formatCode>
                <c:ptCount val="3"/>
                <c:pt idx="0">
                  <c:v>0.28049017437574431</c:v>
                </c:pt>
                <c:pt idx="1">
                  <c:v>0.55414194693306873</c:v>
                </c:pt>
                <c:pt idx="2">
                  <c:v>0.16536787869118699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48-4166-9D4E-903FE8C9582E}"/>
            </c:ext>
          </c:extLst>
        </c:ser>
        <c:ser>
          <c:idx val="1"/>
          <c:order val="1"/>
          <c:tx>
            <c:v>درصد سرانه (هرنفر)</c:v>
          </c:tx>
          <c:spPr>
            <a:solidFill>
              <a:srgbClr val="008FFA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2.1288267002806088E-2"/>
                  <c:y val="-9.7409416488729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C9-41AE-BC1B-425A4E461D74}"/>
                </c:ext>
              </c:extLst>
            </c:dLbl>
            <c:dLbl>
              <c:idx val="2"/>
              <c:layout>
                <c:manualLayout>
                  <c:x val="3.9960474057933376E-2"/>
                  <c:y val="-0.103195467841670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2.9136070664043796E-2"/>
                  <c:y val="-5.0759088174931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248-4166-9D4E-903FE8C958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calc!$C$74:$C$81</c:f>
              <c:strCache>
                <c:ptCount val="3"/>
                <c:pt idx="0">
                  <c:v>تدارکات(دفتر مرکزی)</c:v>
                </c:pt>
                <c:pt idx="1">
                  <c:v>مالی (دفتر مرکزی)</c:v>
                </c:pt>
                <c:pt idx="2">
                  <c:v>اداری (دفتر مرکزی)</c:v>
                </c:pt>
              </c:strCache>
            </c:strRef>
          </c:cat>
          <c:val>
            <c:numRef>
              <c:f>calc!$M$74:$M$81</c:f>
              <c:numCache>
                <c:formatCode>0%</c:formatCode>
                <c:ptCount val="3"/>
                <c:pt idx="0">
                  <c:v>0.28049017437574431</c:v>
                </c:pt>
                <c:pt idx="1">
                  <c:v>0.55414194693306873</c:v>
                </c:pt>
                <c:pt idx="2">
                  <c:v>0.16536787869118699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248-4166-9D4E-903FE8C958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gapDepth val="50"/>
        <c:shape val="box"/>
        <c:axId val="516441408"/>
        <c:axId val="462816832"/>
        <c:axId val="0"/>
      </c:bar3DChart>
      <c:catAx>
        <c:axId val="51644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462816832"/>
        <c:crosses val="autoZero"/>
        <c:auto val="1"/>
        <c:lblAlgn val="ctr"/>
        <c:lblOffset val="100"/>
        <c:noMultiLvlLbl val="0"/>
      </c:catAx>
      <c:valAx>
        <c:axId val="4628168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516441408"/>
        <c:crosses val="autoZero"/>
        <c:crossBetween val="between"/>
      </c:valAx>
    </c:plotArea>
    <c:legend>
      <c:legendPos val="t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8207674557188343E-3"/>
          <c:y val="0.14065463236631276"/>
          <c:w val="0.98996105983187732"/>
          <c:h val="0.6788803164727657"/>
        </c:manualLayout>
      </c:layout>
      <c:bar3DChart>
        <c:barDir val="col"/>
        <c:grouping val="clustered"/>
        <c:varyColors val="0"/>
        <c:ser>
          <c:idx val="0"/>
          <c:order val="0"/>
          <c:tx>
            <c:v>درصد کل شب کاری</c:v>
          </c:tx>
          <c:spPr>
            <a:solidFill>
              <a:srgbClr val="FF0066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5095852721532653E-2"/>
                  <c:y val="-3.8128043175755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32-4DA9-8A04-4CF1CE946B84}"/>
                </c:ext>
              </c:extLst>
            </c:dLbl>
            <c:dLbl>
              <c:idx val="1"/>
              <c:layout>
                <c:manualLayout>
                  <c:x val="-1.2579877267943858E-2"/>
                  <c:y val="-6.9901412488885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32-4DA9-8A04-4CF1CE946B84}"/>
                </c:ext>
              </c:extLst>
            </c:dLbl>
            <c:dLbl>
              <c:idx val="2"/>
              <c:layout>
                <c:manualLayout>
                  <c:x val="-7.5479263607663143E-3"/>
                  <c:y val="-5.0837390901007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095852721532629E-2"/>
                  <c:y val="-6.35467386262596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71-4CF9-8E38-C2B47251C4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0066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calc!$C$97:$C$114</c:f>
              <c:strCache>
                <c:ptCount val="5"/>
                <c:pt idx="0">
                  <c:v>حراست (کارخانه)</c:v>
                </c:pt>
                <c:pt idx="1">
                  <c:v>آشپزخانه (کارخانه)</c:v>
                </c:pt>
                <c:pt idx="2">
                  <c:v>بتن سازی(کارخانه)</c:v>
                </c:pt>
                <c:pt idx="3">
                  <c:v>بتن ریزی(کارخانه)</c:v>
                </c:pt>
                <c:pt idx="4">
                  <c:v>اداری(کارخانه)</c:v>
                </c:pt>
              </c:strCache>
            </c:strRef>
          </c:cat>
          <c:val>
            <c:numRef>
              <c:f>calc!$G$97:$G$114</c:f>
              <c:numCache>
                <c:formatCode>0%</c:formatCode>
                <c:ptCount val="5"/>
                <c:pt idx="0">
                  <c:v>0.87576363089530929</c:v>
                </c:pt>
                <c:pt idx="1">
                  <c:v>3.0409860618488455E-2</c:v>
                </c:pt>
                <c:pt idx="2">
                  <c:v>1.1131152382000986E-2</c:v>
                </c:pt>
                <c:pt idx="3">
                  <c:v>1.9921200497974599E-2</c:v>
                </c:pt>
                <c:pt idx="4">
                  <c:v>6.2774155606226636E-2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2-4DA9-8A04-4CF1CE946B84}"/>
            </c:ext>
          </c:extLst>
        </c:ser>
        <c:ser>
          <c:idx val="1"/>
          <c:order val="1"/>
          <c:tx>
            <c:v>درصد سرانه (هرنفر)</c:v>
          </c:tx>
          <c:spPr>
            <a:solidFill>
              <a:srgbClr val="008FFA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5095852721532584E-2"/>
                  <c:y val="-5.0837390901007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32-4DA9-8A04-4CF1CE946B84}"/>
                </c:ext>
              </c:extLst>
            </c:dLbl>
            <c:dLbl>
              <c:idx val="1"/>
              <c:layout>
                <c:manualLayout>
                  <c:x val="7.5479263607663143E-3"/>
                  <c:y val="-5.0837390901007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32-4DA9-8A04-4CF1CE946B84}"/>
                </c:ext>
              </c:extLst>
            </c:dLbl>
            <c:dLbl>
              <c:idx val="2"/>
              <c:layout>
                <c:manualLayout>
                  <c:x val="1.0063901814355087E-2"/>
                  <c:y val="-5.7192064763633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012780362871008E-2"/>
                  <c:y val="-4.44827170383817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71-4CF9-8E38-C2B47251C4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calc!$C$97:$C$114</c:f>
              <c:strCache>
                <c:ptCount val="5"/>
                <c:pt idx="0">
                  <c:v>حراست (کارخانه)</c:v>
                </c:pt>
                <c:pt idx="1">
                  <c:v>آشپزخانه (کارخانه)</c:v>
                </c:pt>
                <c:pt idx="2">
                  <c:v>بتن سازی(کارخانه)</c:v>
                </c:pt>
                <c:pt idx="3">
                  <c:v>بتن ریزی(کارخانه)</c:v>
                </c:pt>
                <c:pt idx="4">
                  <c:v>اداری(کارخانه)</c:v>
                </c:pt>
              </c:strCache>
            </c:strRef>
          </c:cat>
          <c:val>
            <c:numRef>
              <c:f>calc!$M$97:$M$114</c:f>
              <c:numCache>
                <c:formatCode>0%</c:formatCode>
                <c:ptCount val="5"/>
                <c:pt idx="0">
                  <c:v>0.72865284183750079</c:v>
                </c:pt>
                <c:pt idx="1">
                  <c:v>7.590483520156395E-2</c:v>
                </c:pt>
                <c:pt idx="2">
                  <c:v>1.3892011833911486E-2</c:v>
                </c:pt>
                <c:pt idx="3">
                  <c:v>2.4862255368193739E-2</c:v>
                </c:pt>
                <c:pt idx="4">
                  <c:v>0.15668805575882991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32-4DA9-8A04-4CF1CE946B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gapDepth val="50"/>
        <c:shape val="box"/>
        <c:axId val="516441408"/>
        <c:axId val="462816832"/>
        <c:axId val="0"/>
      </c:bar3DChart>
      <c:catAx>
        <c:axId val="51644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462816832"/>
        <c:crosses val="autoZero"/>
        <c:auto val="1"/>
        <c:lblAlgn val="ctr"/>
        <c:lblOffset val="100"/>
        <c:noMultiLvlLbl val="0"/>
      </c:catAx>
      <c:valAx>
        <c:axId val="4628168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51644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8207674557188343E-3"/>
          <c:y val="0.14065463236631276"/>
          <c:w val="0.98996105983187732"/>
          <c:h val="0.74878172896165129"/>
        </c:manualLayout>
      </c:layout>
      <c:bar3DChart>
        <c:barDir val="col"/>
        <c:grouping val="clustered"/>
        <c:varyColors val="0"/>
        <c:ser>
          <c:idx val="0"/>
          <c:order val="0"/>
          <c:tx>
            <c:v>درصد کل شب کاری</c:v>
          </c:tx>
          <c:spPr>
            <a:solidFill>
              <a:srgbClr val="FF0066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5.5351459978952973E-2"/>
                  <c:y val="-0.165221520428275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B5-4344-8813-AAAEADC42D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0066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calc!$C$136:$C$153</c:f>
              <c:strCache>
                <c:ptCount val="1"/>
                <c:pt idx="0">
                  <c:v>حراست (کارخانه)</c:v>
                </c:pt>
              </c:strCache>
            </c:strRef>
          </c:cat>
          <c:val>
            <c:numRef>
              <c:f>calc!$G$136:$G$153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B5-4344-8813-AAAEADC42DE8}"/>
            </c:ext>
          </c:extLst>
        </c:ser>
        <c:ser>
          <c:idx val="1"/>
          <c:order val="1"/>
          <c:tx>
            <c:v>درصد سرانه (هرنفر)</c:v>
          </c:tx>
          <c:spPr>
            <a:solidFill>
              <a:srgbClr val="008FFA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7803533618186567E-2"/>
                  <c:y val="-0.171576194290900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B5-4344-8813-AAAEADC42D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calc!$C$136:$C$153</c:f>
              <c:strCache>
                <c:ptCount val="1"/>
                <c:pt idx="0">
                  <c:v>حراست (کارخانه)</c:v>
                </c:pt>
              </c:strCache>
            </c:strRef>
          </c:cat>
          <c:val>
            <c:numRef>
              <c:f>calc!$M$136:$M$153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B5-4344-8813-AAAEADC42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gapDepth val="50"/>
        <c:shape val="box"/>
        <c:axId val="516441408"/>
        <c:axId val="462816832"/>
        <c:axId val="0"/>
      </c:bar3DChart>
      <c:catAx>
        <c:axId val="51644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462816832"/>
        <c:crosses val="autoZero"/>
        <c:auto val="1"/>
        <c:lblAlgn val="ctr"/>
        <c:lblOffset val="100"/>
        <c:noMultiLvlLbl val="0"/>
      </c:catAx>
      <c:valAx>
        <c:axId val="4628168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51644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8207674557188343E-3"/>
          <c:y val="0.13050660353872065"/>
          <c:w val="0.98996105983187732"/>
          <c:h val="0.762436491826054"/>
        </c:manualLayout>
      </c:layout>
      <c:bar3DChart>
        <c:barDir val="col"/>
        <c:grouping val="clustered"/>
        <c:varyColors val="0"/>
        <c:ser>
          <c:idx val="0"/>
          <c:order val="0"/>
          <c:tx>
            <c:v>درصد کل (شب کاری)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0066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calc!$C$159:$C$166</c:f>
            </c:strRef>
          </c:cat>
          <c:val>
            <c:numRef>
              <c:f>calc!$G$159:$G$166</c:f>
            </c:numRef>
          </c:val>
          <c:extLst>
            <c:ext xmlns:c16="http://schemas.microsoft.com/office/drawing/2014/chart" uri="{C3380CC4-5D6E-409C-BE32-E72D297353CC}">
              <c16:uniqueId val="{00000000-77BC-48F7-9262-123C5ED193DA}"/>
            </c:ext>
          </c:extLst>
        </c:ser>
        <c:ser>
          <c:idx val="1"/>
          <c:order val="1"/>
          <c:tx>
            <c:v>درصد سرانه (هرنفر)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calc!$C$159:$C$166</c:f>
            </c:strRef>
          </c:cat>
          <c:val>
            <c:numRef>
              <c:f>calc!$M$159:$M$166</c:f>
            </c:numRef>
          </c:val>
          <c:extLst>
            <c:ext xmlns:c16="http://schemas.microsoft.com/office/drawing/2014/chart" uri="{C3380CC4-5D6E-409C-BE32-E72D297353CC}">
              <c16:uniqueId val="{00000001-77BC-48F7-9262-123C5ED193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gapDepth val="50"/>
        <c:shape val="box"/>
        <c:axId val="516441408"/>
        <c:axId val="462816832"/>
        <c:axId val="0"/>
      </c:bar3DChart>
      <c:catAx>
        <c:axId val="51644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462816832"/>
        <c:crosses val="autoZero"/>
        <c:auto val="1"/>
        <c:lblAlgn val="ctr"/>
        <c:lblOffset val="100"/>
        <c:noMultiLvlLbl val="0"/>
      </c:catAx>
      <c:valAx>
        <c:axId val="4628168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51644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3219066750610127E-3"/>
          <c:y val="1.8273696661853984E-2"/>
          <c:w val="0.98696230433784238"/>
          <c:h val="0.59365293174033296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F2C-4AB5-A5B9-96E048E4D94D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0C5-4CB2-A3A7-65394424B04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9-0F2C-4AB5-A5B9-96E048E4D94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0C5-4CB2-A3A7-65394424B044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D-0F2C-4AB5-A5B9-96E048E4D94D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</c:dPt>
          <c:dPt>
            <c:idx val="7"/>
            <c:invertIfNegative val="0"/>
            <c:bubble3D val="0"/>
            <c:spPr>
              <a:solidFill>
                <a:srgbClr val="D0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0C5-4CB2-A3A7-65394424B044}"/>
              </c:ext>
            </c:extLst>
          </c:dPt>
          <c:dPt>
            <c:idx val="8"/>
            <c:invertIfNegative val="0"/>
            <c:bubble3D val="0"/>
            <c:spPr>
              <a:solidFill>
                <a:srgbClr val="A4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D-9A38-477B-9C6C-0D4CC7E451ED}"/>
              </c:ext>
            </c:extLst>
          </c:dPt>
          <c:dPt>
            <c:idx val="9"/>
            <c:invertIfNegative val="0"/>
            <c:bubble3D val="0"/>
            <c:spPr>
              <a:solidFill>
                <a:srgbClr val="FF66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0C5-4CB2-A3A7-65394424B044}"/>
              </c:ext>
            </c:extLst>
          </c:dPt>
          <c:cat>
            <c:strRef>
              <c:f>calc!$J$5:$J$22</c:f>
              <c:strCache>
                <c:ptCount val="10"/>
                <c:pt idx="0">
                  <c:v>حراست (کارخانه)</c:v>
                </c:pt>
                <c:pt idx="1">
                  <c:v>آشپزخانه (کارخانه)</c:v>
                </c:pt>
                <c:pt idx="2">
                  <c:v>انبار (کارخانه)</c:v>
                </c:pt>
                <c:pt idx="3">
                  <c:v>فنی تولید (کارخانه)</c:v>
                </c:pt>
                <c:pt idx="4">
                  <c:v>تعمیر و نگهداری(کارخانه)</c:v>
                </c:pt>
                <c:pt idx="5">
                  <c:v>حمل مواد اولیه (کارخانه)</c:v>
                </c:pt>
                <c:pt idx="6">
                  <c:v>بتن سازی(کارخانه)</c:v>
                </c:pt>
                <c:pt idx="7">
                  <c:v>بتن ریزی(کارخانه)</c:v>
                </c:pt>
                <c:pt idx="8">
                  <c:v>آرماتور، میلگرد (کارخانه)</c:v>
                </c:pt>
                <c:pt idx="9">
                  <c:v>اداری(کارخانه)</c:v>
                </c:pt>
              </c:strCache>
            </c:strRef>
          </c:cat>
          <c:val>
            <c:numRef>
              <c:f>calc!$K$5:$K$22</c:f>
              <c:numCache>
                <c:formatCode>0%</c:formatCode>
                <c:ptCount val="10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2C-4AB5-A5B9-96E048E4D94D}"/>
            </c:ext>
          </c:extLst>
        </c:ser>
        <c:ser>
          <c:idx val="1"/>
          <c:order val="1"/>
          <c:spPr>
            <a:solidFill>
              <a:schemeClr val="bg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75527A9-7811-48B1-877C-EE4209B03CF0}" type="CELLRANGE">
                      <a:rPr lang="en-US"/>
                      <a:pPr/>
                      <a:t>[CELLRANGE]</a:t>
                    </a:fld>
                    <a:endParaRPr lang="fa-I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F2C-4AB5-A5B9-96E048E4D94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40772F5-7362-4274-88EE-E27F23647624}" type="CELLRANGE">
                      <a:rPr lang="fa-IR"/>
                      <a:pPr/>
                      <a:t>[CELLRANGE]</a:t>
                    </a:fld>
                    <a:endParaRPr lang="fa-I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0F2C-4AB5-A5B9-96E048E4D94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20658F9-1CF0-4E10-91E0-72BC0C48D322}" type="CELLRANGE">
                      <a:rPr lang="fa-IR"/>
                      <a:pPr/>
                      <a:t>[CELLRANGE]</a:t>
                    </a:fld>
                    <a:endParaRPr lang="fa-I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0F2C-4AB5-A5B9-96E048E4D94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36507C7-44AA-430A-A9E2-5548FE2F6D6F}" type="CELLRANGE">
                      <a:rPr lang="fa-IR"/>
                      <a:pPr/>
                      <a:t>[CELLRANGE]</a:t>
                    </a:fld>
                    <a:endParaRPr lang="fa-I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0F2C-4AB5-A5B9-96E048E4D94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4B02472-0AA5-4A2C-81C6-7BC764198505}" type="CELLRANGE">
                      <a:rPr lang="fa-IR"/>
                      <a:pPr/>
                      <a:t>[CELLRANGE]</a:t>
                    </a:fld>
                    <a:endParaRPr lang="fa-I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0F2C-4AB5-A5B9-96E048E4D94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281A87E-FC53-4A05-9E01-56EDDED86BEA}" type="CELLRANGE">
                      <a:rPr lang="fa-IR"/>
                      <a:pPr/>
                      <a:t>[CELLRANGE]</a:t>
                    </a:fld>
                    <a:endParaRPr lang="fa-I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0F2C-4AB5-A5B9-96E048E4D94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21FA7968-E9A3-418D-B3C7-4630C0CCEDF4}" type="CELLRANGE">
                      <a:rPr lang="fa-IR"/>
                      <a:pPr/>
                      <a:t>[CELLRANGE]</a:t>
                    </a:fld>
                    <a:endParaRPr lang="fa-I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0F2C-4AB5-A5B9-96E048E4D94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E01A58F-DEDB-40C3-848F-5457ACCA630D}" type="CELLRANGE">
                      <a:rPr lang="fa-IR"/>
                      <a:pPr/>
                      <a:t>[CELLRANGE]</a:t>
                    </a:fld>
                    <a:endParaRPr lang="fa-I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0F2C-4AB5-A5B9-96E048E4D94D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FC104FD-4542-4658-AF0D-0469E45B99FF}" type="CELLRANGE">
                      <a:rPr lang="fa-IR"/>
                      <a:pPr/>
                      <a:t>[CELLRANGE]</a:t>
                    </a:fld>
                    <a:endParaRPr lang="fa-I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0F2C-4AB5-A5B9-96E048E4D94D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4120FB1-616E-4698-BAF4-D711A609C4D8}" type="CELLRANGE">
                      <a:rPr lang="fa-IR"/>
                      <a:pPr/>
                      <a:t>[CELLRANGE]</a:t>
                    </a:fld>
                    <a:endParaRPr lang="fa-I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0F2C-4AB5-A5B9-96E048E4D94D}"/>
                </c:ext>
              </c:extLst>
            </c:dLbl>
            <c:numFmt formatCode="[$-3010000]0" sourceLinked="0"/>
            <c:spPr>
              <a:noFill/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overflow" horzOverflow="overflow" vert="horz" wrap="square" lIns="73152" tIns="19050" rIns="9144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B Nazanin" panose="00000400000000000000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cat>
            <c:strRef>
              <c:f>calc!$J$5:$J$22</c:f>
              <c:strCache>
                <c:ptCount val="10"/>
                <c:pt idx="0">
                  <c:v>حراست (کارخانه)</c:v>
                </c:pt>
                <c:pt idx="1">
                  <c:v>آشپزخانه (کارخانه)</c:v>
                </c:pt>
                <c:pt idx="2">
                  <c:v>انبار (کارخانه)</c:v>
                </c:pt>
                <c:pt idx="3">
                  <c:v>فنی تولید (کارخانه)</c:v>
                </c:pt>
                <c:pt idx="4">
                  <c:v>تعمیر و نگهداری(کارخانه)</c:v>
                </c:pt>
                <c:pt idx="5">
                  <c:v>حمل مواد اولیه (کارخانه)</c:v>
                </c:pt>
                <c:pt idx="6">
                  <c:v>بتن سازی(کارخانه)</c:v>
                </c:pt>
                <c:pt idx="7">
                  <c:v>بتن ریزی(کارخانه)</c:v>
                </c:pt>
                <c:pt idx="8">
                  <c:v>آرماتور، میلگرد (کارخانه)</c:v>
                </c:pt>
                <c:pt idx="9">
                  <c:v>اداری(کارخانه)</c:v>
                </c:pt>
              </c:strCache>
            </c:strRef>
          </c:cat>
          <c:val>
            <c:numRef>
              <c:f>calc!$L$5:$L$22</c:f>
              <c:numCache>
                <c:formatCode>0%</c:formatCode>
                <c:ptCount val="10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calc!$M$5:$M$22</c15:f>
                <c15:dlblRangeCache>
                  <c:ptCount val="10"/>
                  <c:pt idx="0">
                    <c:v>25%</c:v>
                  </c:pt>
                  <c:pt idx="1">
                    <c:v>5%</c:v>
                  </c:pt>
                  <c:pt idx="2">
                    <c:v>5%</c:v>
                  </c:pt>
                  <c:pt idx="3">
                    <c:v>10%</c:v>
                  </c:pt>
                  <c:pt idx="4">
                    <c:v>7%</c:v>
                  </c:pt>
                  <c:pt idx="5">
                    <c:v>7%</c:v>
                  </c:pt>
                  <c:pt idx="6">
                    <c:v>14%</c:v>
                  </c:pt>
                  <c:pt idx="7">
                    <c:v>14%</c:v>
                  </c:pt>
                  <c:pt idx="8">
                    <c:v>6%</c:v>
                  </c:pt>
                  <c:pt idx="9">
                    <c:v>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A-0F2C-4AB5-A5B9-96E048E4D94D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C-0F2C-4AB5-A5B9-96E048E4D94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F-C9BE-4058-A2E1-65E45C68C553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00C5-4CB2-A3A7-65394424B04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7B5-4DD3-BD3B-38528C48C61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00C5-4CB2-A3A7-65394424B044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B7B5-4DD3-BD3B-38528C48C61E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</c:dPt>
          <c:dPt>
            <c:idx val="7"/>
            <c:invertIfNegative val="0"/>
            <c:bubble3D val="0"/>
            <c:spPr>
              <a:solidFill>
                <a:srgbClr val="D0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00C5-4CB2-A3A7-65394424B044}"/>
              </c:ext>
            </c:extLst>
          </c:dPt>
          <c:dPt>
            <c:idx val="8"/>
            <c:invertIfNegative val="0"/>
            <c:bubble3D val="0"/>
            <c:spPr>
              <a:solidFill>
                <a:srgbClr val="A4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F-9A38-477B-9C6C-0D4CC7E451ED}"/>
              </c:ext>
            </c:extLst>
          </c:dPt>
          <c:dPt>
            <c:idx val="9"/>
            <c:invertIfNegative val="0"/>
            <c:bubble3D val="0"/>
            <c:spPr>
              <a:solidFill>
                <a:srgbClr val="FF66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00C5-4CB2-A3A7-65394424B044}"/>
              </c:ext>
            </c:extLst>
          </c:dPt>
          <c:cat>
            <c:strRef>
              <c:f>calc!$J$5:$J$22</c:f>
              <c:strCache>
                <c:ptCount val="10"/>
                <c:pt idx="0">
                  <c:v>حراست (کارخانه)</c:v>
                </c:pt>
                <c:pt idx="1">
                  <c:v>آشپزخانه (کارخانه)</c:v>
                </c:pt>
                <c:pt idx="2">
                  <c:v>انبار (کارخانه)</c:v>
                </c:pt>
                <c:pt idx="3">
                  <c:v>فنی تولید (کارخانه)</c:v>
                </c:pt>
                <c:pt idx="4">
                  <c:v>تعمیر و نگهداری(کارخانه)</c:v>
                </c:pt>
                <c:pt idx="5">
                  <c:v>حمل مواد اولیه (کارخانه)</c:v>
                </c:pt>
                <c:pt idx="6">
                  <c:v>بتن سازی(کارخانه)</c:v>
                </c:pt>
                <c:pt idx="7">
                  <c:v>بتن ریزی(کارخانه)</c:v>
                </c:pt>
                <c:pt idx="8">
                  <c:v>آرماتور، میلگرد (کارخانه)</c:v>
                </c:pt>
                <c:pt idx="9">
                  <c:v>اداری(کارخانه)</c:v>
                </c:pt>
              </c:strCache>
            </c:strRef>
          </c:cat>
          <c:val>
            <c:numRef>
              <c:f>calc!$M$5:$M$22</c:f>
              <c:numCache>
                <c:formatCode>0%</c:formatCode>
                <c:ptCount val="10"/>
                <c:pt idx="0">
                  <c:v>0.24868692011316509</c:v>
                </c:pt>
                <c:pt idx="1">
                  <c:v>5.324756457385095E-2</c:v>
                </c:pt>
                <c:pt idx="2">
                  <c:v>4.6007102011151914E-2</c:v>
                </c:pt>
                <c:pt idx="3">
                  <c:v>9.8946254312280824E-2</c:v>
                </c:pt>
                <c:pt idx="4">
                  <c:v>6.9144782412800088E-2</c:v>
                </c:pt>
                <c:pt idx="5">
                  <c:v>6.7115971626782997E-2</c:v>
                </c:pt>
                <c:pt idx="6">
                  <c:v>0.13685722597897429</c:v>
                </c:pt>
                <c:pt idx="7">
                  <c:v>0.14226611294645597</c:v>
                </c:pt>
                <c:pt idx="8">
                  <c:v>5.572147293732941E-2</c:v>
                </c:pt>
                <c:pt idx="9">
                  <c:v>8.2006593087208465E-2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F2C-4AB5-A5B9-96E048E4D94D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7030A0">
                  <a:alpha val="22000"/>
                </a:srgb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0F2C-4AB5-A5B9-96E048E4D94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50000"/>
                  <a:alpha val="21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E-C9BE-4058-A2E1-65E45C68C553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>
                  <a:alpha val="22000"/>
                </a:srgb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B-00C5-4CB2-A3A7-65394424B04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  <a:alpha val="22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A-0F2C-4AB5-A5B9-96E048E4D94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50000"/>
                  <a:alpha val="21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F-00C5-4CB2-A3A7-65394424B044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>
                  <a:alpha val="21000"/>
                </a:srgb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E-0F2C-4AB5-A5B9-96E048E4D94D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>
                  <a:alpha val="21000"/>
                </a:srgbClr>
              </a:solidFill>
              <a:ln>
                <a:noFill/>
              </a:ln>
              <a:effectLst/>
              <a:sp3d/>
            </c:spPr>
          </c:dPt>
          <c:dPt>
            <c:idx val="7"/>
            <c:invertIfNegative val="0"/>
            <c:bubble3D val="0"/>
            <c:spPr>
              <a:solidFill>
                <a:srgbClr val="D00000">
                  <a:alpha val="21000"/>
                </a:srgb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3-00C5-4CB2-A3A7-65394424B044}"/>
              </c:ext>
            </c:extLst>
          </c:dPt>
          <c:dPt>
            <c:idx val="8"/>
            <c:invertIfNegative val="0"/>
            <c:bubble3D val="0"/>
            <c:spPr>
              <a:solidFill>
                <a:srgbClr val="A40000">
                  <a:alpha val="21000"/>
                </a:srgb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E-9A38-477B-9C6C-0D4CC7E451ED}"/>
              </c:ext>
            </c:extLst>
          </c:dPt>
          <c:dPt>
            <c:idx val="9"/>
            <c:invertIfNegative val="0"/>
            <c:bubble3D val="0"/>
            <c:spPr>
              <a:solidFill>
                <a:srgbClr val="FF6600">
                  <a:alpha val="21000"/>
                </a:srgb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7-00C5-4CB2-A3A7-65394424B044}"/>
              </c:ext>
            </c:extLst>
          </c:dPt>
          <c:cat>
            <c:strRef>
              <c:f>calc!$J$5:$J$22</c:f>
              <c:strCache>
                <c:ptCount val="10"/>
                <c:pt idx="0">
                  <c:v>حراست (کارخانه)</c:v>
                </c:pt>
                <c:pt idx="1">
                  <c:v>آشپزخانه (کارخانه)</c:v>
                </c:pt>
                <c:pt idx="2">
                  <c:v>انبار (کارخانه)</c:v>
                </c:pt>
                <c:pt idx="3">
                  <c:v>فنی تولید (کارخانه)</c:v>
                </c:pt>
                <c:pt idx="4">
                  <c:v>تعمیر و نگهداری(کارخانه)</c:v>
                </c:pt>
                <c:pt idx="5">
                  <c:v>حمل مواد اولیه (کارخانه)</c:v>
                </c:pt>
                <c:pt idx="6">
                  <c:v>بتن سازی(کارخانه)</c:v>
                </c:pt>
                <c:pt idx="7">
                  <c:v>بتن ریزی(کارخانه)</c:v>
                </c:pt>
                <c:pt idx="8">
                  <c:v>آرماتور، میلگرد (کارخانه)</c:v>
                </c:pt>
                <c:pt idx="9">
                  <c:v>اداری(کارخانه)</c:v>
                </c:pt>
              </c:strCache>
            </c:strRef>
          </c:cat>
          <c:val>
            <c:numRef>
              <c:f>calc!$N$5:$N$22</c:f>
              <c:numCache>
                <c:formatCode>0%</c:formatCode>
                <c:ptCount val="10"/>
                <c:pt idx="0">
                  <c:v>0.75131307988683493</c:v>
                </c:pt>
                <c:pt idx="1">
                  <c:v>0.94675243542614906</c:v>
                </c:pt>
                <c:pt idx="2">
                  <c:v>0.95399289798884812</c:v>
                </c:pt>
                <c:pt idx="3">
                  <c:v>0.90105374568771923</c:v>
                </c:pt>
                <c:pt idx="4">
                  <c:v>0.93085521758719991</c:v>
                </c:pt>
                <c:pt idx="5">
                  <c:v>0.93288402837321704</c:v>
                </c:pt>
                <c:pt idx="6">
                  <c:v>0.86314277402102568</c:v>
                </c:pt>
                <c:pt idx="7">
                  <c:v>0.85773388705354403</c:v>
                </c:pt>
                <c:pt idx="8">
                  <c:v>0.94427852706267057</c:v>
                </c:pt>
                <c:pt idx="9">
                  <c:v>0.91799340691279152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0F2C-4AB5-A5B9-96E048E4D94D}"/>
            </c:ext>
          </c:extLst>
        </c:ser>
        <c:ser>
          <c:idx val="4"/>
          <c:order val="4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2-0F2C-4AB5-A5B9-96E048E4D94D}"/>
              </c:ext>
            </c:extLst>
          </c:dPt>
          <c:cat>
            <c:strRef>
              <c:f>calc!$J$5:$J$22</c:f>
              <c:strCache>
                <c:ptCount val="10"/>
                <c:pt idx="0">
                  <c:v>حراست (کارخانه)</c:v>
                </c:pt>
                <c:pt idx="1">
                  <c:v>آشپزخانه (کارخانه)</c:v>
                </c:pt>
                <c:pt idx="2">
                  <c:v>انبار (کارخانه)</c:v>
                </c:pt>
                <c:pt idx="3">
                  <c:v>فنی تولید (کارخانه)</c:v>
                </c:pt>
                <c:pt idx="4">
                  <c:v>تعمیر و نگهداری(کارخانه)</c:v>
                </c:pt>
                <c:pt idx="5">
                  <c:v>حمل مواد اولیه (کارخانه)</c:v>
                </c:pt>
                <c:pt idx="6">
                  <c:v>بتن سازی(کارخانه)</c:v>
                </c:pt>
                <c:pt idx="7">
                  <c:v>بتن ریزی(کارخانه)</c:v>
                </c:pt>
                <c:pt idx="8">
                  <c:v>آرماتور، میلگرد (کارخانه)</c:v>
                </c:pt>
                <c:pt idx="9">
                  <c:v>اداری(کارخانه)</c:v>
                </c:pt>
              </c:strCache>
            </c:strRef>
          </c:cat>
          <c:val>
            <c:numRef>
              <c:f>calc!$O$5:$O$22</c:f>
              <c:numCache>
                <c:formatCode>0%</c:formatCode>
                <c:ptCount val="10"/>
                <c:pt idx="0">
                  <c:v>0.15</c:v>
                </c:pt>
                <c:pt idx="1">
                  <c:v>0.15</c:v>
                </c:pt>
                <c:pt idx="2">
                  <c:v>0.15</c:v>
                </c:pt>
                <c:pt idx="3">
                  <c:v>0.15</c:v>
                </c:pt>
                <c:pt idx="4">
                  <c:v>0.15</c:v>
                </c:pt>
                <c:pt idx="5">
                  <c:v>0.15</c:v>
                </c:pt>
                <c:pt idx="6">
                  <c:v>0.15</c:v>
                </c:pt>
                <c:pt idx="7">
                  <c:v>0.15</c:v>
                </c:pt>
                <c:pt idx="8">
                  <c:v>0.15</c:v>
                </c:pt>
                <c:pt idx="9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0F2C-4AB5-A5B9-96E048E4D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gapDepth val="60"/>
        <c:shape val="cylinder"/>
        <c:axId val="557227968"/>
        <c:axId val="270554736"/>
        <c:axId val="0"/>
      </c:bar3DChart>
      <c:catAx>
        <c:axId val="55722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 rtl="1">
              <a:defRPr sz="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270554736"/>
        <c:crosses val="autoZero"/>
        <c:auto val="1"/>
        <c:lblAlgn val="ctr"/>
        <c:lblOffset val="100"/>
        <c:noMultiLvlLbl val="0"/>
      </c:catAx>
      <c:valAx>
        <c:axId val="27055473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557227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272537994939162E-2"/>
          <c:y val="1.9953713668922325E-2"/>
          <c:w val="0.93454924010121676"/>
          <c:h val="0.9551041442449247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46AAC2"/>
            </a:solidFill>
            <a:ln>
              <a:noFill/>
            </a:ln>
            <a:effectLst/>
            <a:sp3d/>
          </c:spPr>
          <c:invertIfNegative val="0"/>
          <c:cat>
            <c:strRef>
              <c:f>calc!$J$41</c:f>
              <c:strCache>
                <c:ptCount val="1"/>
                <c:pt idx="0">
                  <c:v>بندرعباس</c:v>
                </c:pt>
              </c:strCache>
            </c:strRef>
          </c:cat>
          <c:val>
            <c:numRef>
              <c:f>calc!$K$41</c:f>
              <c:numCache>
                <c:formatCode>0%</c:formatCode>
                <c:ptCount val="1"/>
                <c:pt idx="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3-4ACC-9547-05F3D1F82DE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B833-4ACC-9547-05F3D1F82DE2}"/>
              </c:ext>
            </c:extLst>
          </c:dPt>
          <c:cat>
            <c:strRef>
              <c:f>calc!$J$41</c:f>
              <c:strCache>
                <c:ptCount val="1"/>
                <c:pt idx="0">
                  <c:v>بندرعباس</c:v>
                </c:pt>
              </c:strCache>
            </c:strRef>
          </c:cat>
          <c:val>
            <c:numRef>
              <c:f>calc!$L$41</c:f>
              <c:numCache>
                <c:formatCode>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33-4ACC-9547-05F3D1F82DE2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46AAC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833-4ACC-9547-05F3D1F82DE2}"/>
              </c:ext>
            </c:extLst>
          </c:dPt>
          <c:cat>
            <c:strRef>
              <c:f>calc!$J$41</c:f>
              <c:strCache>
                <c:ptCount val="1"/>
                <c:pt idx="0">
                  <c:v>بندرعباس</c:v>
                </c:pt>
              </c:strCache>
            </c:strRef>
          </c:cat>
          <c:val>
            <c:numRef>
              <c:f>calc!$M$41</c:f>
              <c:numCache>
                <c:formatCode>0%</c:formatCode>
                <c:ptCount val="1"/>
                <c:pt idx="0">
                  <c:v>0.74942919049968348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33-4ACC-9547-05F3D1F82DE2}"/>
            </c:ext>
          </c:extLst>
        </c:ser>
        <c:ser>
          <c:idx val="3"/>
          <c:order val="3"/>
          <c:spPr>
            <a:solidFill>
              <a:srgbClr val="46AAC2">
                <a:alpha val="21000"/>
              </a:srgbClr>
            </a:solidFill>
            <a:ln>
              <a:noFill/>
            </a:ln>
            <a:effectLst/>
            <a:sp3d/>
          </c:spPr>
          <c:invertIfNegative val="0"/>
          <c:cat>
            <c:strRef>
              <c:f>calc!$J$41</c:f>
              <c:strCache>
                <c:ptCount val="1"/>
                <c:pt idx="0">
                  <c:v>بندرعباس</c:v>
                </c:pt>
              </c:strCache>
            </c:strRef>
          </c:cat>
          <c:val>
            <c:numRef>
              <c:f>calc!$N$41</c:f>
              <c:numCache>
                <c:formatCode>0%</c:formatCode>
                <c:ptCount val="1"/>
                <c:pt idx="0">
                  <c:v>0.25057080950031652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833-4ACC-9547-05F3D1F82DE2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833-4ACC-9547-05F3D1F82DE2}"/>
              </c:ext>
            </c:extLst>
          </c:dPt>
          <c:cat>
            <c:strRef>
              <c:f>calc!$J$41</c:f>
              <c:strCache>
                <c:ptCount val="1"/>
                <c:pt idx="0">
                  <c:v>بندرعباس</c:v>
                </c:pt>
              </c:strCache>
            </c:strRef>
          </c:cat>
          <c:val>
            <c:numRef>
              <c:f>calc!$O$41</c:f>
              <c:numCache>
                <c:formatCode>0%</c:formatCode>
                <c:ptCount val="1"/>
                <c:pt idx="0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833-4ACC-9547-05F3D1F82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shape val="cylinder"/>
        <c:axId val="557227968"/>
        <c:axId val="270554736"/>
        <c:axId val="0"/>
      </c:bar3DChart>
      <c:catAx>
        <c:axId val="5572279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70554736"/>
        <c:crosses val="autoZero"/>
        <c:auto val="1"/>
        <c:lblAlgn val="ctr"/>
        <c:lblOffset val="100"/>
        <c:noMultiLvlLbl val="0"/>
      </c:catAx>
      <c:valAx>
        <c:axId val="27055473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557227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Style="combo" dx="22" fmlaLink="listbox!$D$2" fmlaRange="listbox!$C$2:$C$13" noThreeD="1" sel="1" val="0"/>
</file>

<file path=xl/ctrlProps/ctrlProp2.xml><?xml version="1.0" encoding="utf-8"?>
<formControlPr xmlns="http://schemas.microsoft.com/office/spreadsheetml/2009/9/main" objectType="Drop" dropStyle="combo" dx="22" fmlaLink="listbox!$B$2" fmlaRange="listbox!$A$2:$A$13" noThreeD="1" sel="1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13" Type="http://schemas.openxmlformats.org/officeDocument/2006/relationships/image" Target="../media/image8.jpeg"/><Relationship Id="rId18" Type="http://schemas.openxmlformats.org/officeDocument/2006/relationships/image" Target="../media/image10.jpeg"/><Relationship Id="rId26" Type="http://schemas.openxmlformats.org/officeDocument/2006/relationships/chart" Target="../charts/chart14.xml"/><Relationship Id="rId3" Type="http://schemas.openxmlformats.org/officeDocument/2006/relationships/chart" Target="../charts/chart2.xml"/><Relationship Id="rId21" Type="http://schemas.openxmlformats.org/officeDocument/2006/relationships/chart" Target="../charts/chart10.xml"/><Relationship Id="rId7" Type="http://schemas.openxmlformats.org/officeDocument/2006/relationships/image" Target="../media/image5.png"/><Relationship Id="rId12" Type="http://schemas.openxmlformats.org/officeDocument/2006/relationships/chart" Target="../charts/chart5.xml"/><Relationship Id="rId17" Type="http://schemas.openxmlformats.org/officeDocument/2006/relationships/chart" Target="../charts/chart8.xml"/><Relationship Id="rId25" Type="http://schemas.openxmlformats.org/officeDocument/2006/relationships/chart" Target="../charts/chart13.xml"/><Relationship Id="rId2" Type="http://schemas.openxmlformats.org/officeDocument/2006/relationships/image" Target="../media/image1.png"/><Relationship Id="rId16" Type="http://schemas.openxmlformats.org/officeDocument/2006/relationships/chart" Target="../charts/chart7.xml"/><Relationship Id="rId20" Type="http://schemas.openxmlformats.org/officeDocument/2006/relationships/chart" Target="../charts/chart9.xml"/><Relationship Id="rId29" Type="http://schemas.openxmlformats.org/officeDocument/2006/relationships/image" Target="../media/image13.png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11" Type="http://schemas.openxmlformats.org/officeDocument/2006/relationships/image" Target="../media/image7.png"/><Relationship Id="rId24" Type="http://schemas.openxmlformats.org/officeDocument/2006/relationships/chart" Target="../charts/chart12.xml"/><Relationship Id="rId5" Type="http://schemas.openxmlformats.org/officeDocument/2006/relationships/image" Target="../media/image3.png"/><Relationship Id="rId15" Type="http://schemas.openxmlformats.org/officeDocument/2006/relationships/chart" Target="../charts/chart6.xml"/><Relationship Id="rId23" Type="http://schemas.openxmlformats.org/officeDocument/2006/relationships/image" Target="../media/image12.jpeg"/><Relationship Id="rId28" Type="http://schemas.openxmlformats.org/officeDocument/2006/relationships/chart" Target="../charts/chart16.xml"/><Relationship Id="rId10" Type="http://schemas.openxmlformats.org/officeDocument/2006/relationships/chart" Target="../charts/chart4.xml"/><Relationship Id="rId19" Type="http://schemas.openxmlformats.org/officeDocument/2006/relationships/image" Target="../media/image11.png"/><Relationship Id="rId4" Type="http://schemas.openxmlformats.org/officeDocument/2006/relationships/image" Target="../media/image2.png"/><Relationship Id="rId9" Type="http://schemas.openxmlformats.org/officeDocument/2006/relationships/chart" Target="../charts/chart3.xml"/><Relationship Id="rId14" Type="http://schemas.openxmlformats.org/officeDocument/2006/relationships/image" Target="../media/image9.png"/><Relationship Id="rId22" Type="http://schemas.openxmlformats.org/officeDocument/2006/relationships/chart" Target="../charts/chart11.xml"/><Relationship Id="rId27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7357</xdr:colOff>
      <xdr:row>2</xdr:row>
      <xdr:rowOff>100666</xdr:rowOff>
    </xdr:from>
    <xdr:to>
      <xdr:col>13</xdr:col>
      <xdr:colOff>747376</xdr:colOff>
      <xdr:row>13</xdr:row>
      <xdr:rowOff>238734</xdr:rowOff>
    </xdr:to>
    <xdr:grpSp>
      <xdr:nvGrpSpPr>
        <xdr:cNvPr id="78" name="Group 77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GrpSpPr/>
      </xdr:nvGrpSpPr>
      <xdr:grpSpPr>
        <a:xfrm>
          <a:off x="12473294678" y="672166"/>
          <a:ext cx="9884019" cy="3281318"/>
          <a:chOff x="12473294678" y="7434916"/>
          <a:chExt cx="9884019" cy="3281318"/>
        </a:xfrm>
      </xdr:grpSpPr>
      <xdr:grpSp>
        <xdr:nvGrpSpPr>
          <xdr:cNvPr id="118" name="Group 117">
            <a:extLst>
              <a:ext uri="{FF2B5EF4-FFF2-40B4-BE49-F238E27FC236}">
                <a16:creationId xmlns:a16="http://schemas.microsoft.com/office/drawing/2014/main" id="{00000000-0008-0000-0300-000076000000}"/>
              </a:ext>
            </a:extLst>
          </xdr:cNvPr>
          <xdr:cNvGrpSpPr/>
        </xdr:nvGrpSpPr>
        <xdr:grpSpPr>
          <a:xfrm>
            <a:off x="12473294678" y="7484197"/>
            <a:ext cx="9884019" cy="3232037"/>
            <a:chOff x="12477797625" y="946497"/>
            <a:chExt cx="6766246" cy="4468170"/>
          </a:xfrm>
        </xdr:grpSpPr>
        <xdr:sp macro="" textlink="">
          <xdr:nvSpPr>
            <xdr:cNvPr id="119" name="Isosceles Triangle 118">
              <a:extLst>
                <a:ext uri="{FF2B5EF4-FFF2-40B4-BE49-F238E27FC236}">
                  <a16:creationId xmlns:a16="http://schemas.microsoft.com/office/drawing/2014/main" id="{00000000-0008-0000-0300-000077000000}"/>
                </a:ext>
              </a:extLst>
            </xdr:cNvPr>
            <xdr:cNvSpPr/>
          </xdr:nvSpPr>
          <xdr:spPr>
            <a:xfrm>
              <a:off x="12479631187" y="952766"/>
              <a:ext cx="78960" cy="70434"/>
            </a:xfrm>
            <a:prstGeom prst="triangle">
              <a:avLst/>
            </a:prstGeom>
            <a:solidFill>
              <a:srgbClr val="3DA1B9"/>
            </a:solidFill>
            <a:ln>
              <a:solidFill>
                <a:srgbClr val="3DA1B9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1" anchor="t"/>
            <a:lstStyle/>
            <a:p>
              <a:pPr algn="r" rtl="1"/>
              <a:endParaRPr lang="fa-IR" sz="1100"/>
            </a:p>
          </xdr:txBody>
        </xdr:sp>
        <xdr:sp macro="" textlink="">
          <xdr:nvSpPr>
            <xdr:cNvPr id="120" name="Isosceles Triangle 119">
              <a:extLst>
                <a:ext uri="{FF2B5EF4-FFF2-40B4-BE49-F238E27FC236}">
                  <a16:creationId xmlns:a16="http://schemas.microsoft.com/office/drawing/2014/main" id="{00000000-0008-0000-0300-000078000000}"/>
                </a:ext>
              </a:extLst>
            </xdr:cNvPr>
            <xdr:cNvSpPr/>
          </xdr:nvSpPr>
          <xdr:spPr>
            <a:xfrm>
              <a:off x="12483093525" y="952766"/>
              <a:ext cx="78960" cy="70434"/>
            </a:xfrm>
            <a:prstGeom prst="triangle">
              <a:avLst/>
            </a:prstGeom>
            <a:solidFill>
              <a:srgbClr val="3DA1B9"/>
            </a:solidFill>
            <a:ln>
              <a:solidFill>
                <a:srgbClr val="3DA1B9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1" anchor="t"/>
            <a:lstStyle/>
            <a:p>
              <a:pPr algn="r" rtl="1"/>
              <a:endParaRPr lang="fa-IR" sz="1100"/>
            </a:p>
          </xdr:txBody>
        </xdr:sp>
        <xdr:sp macro="" textlink="">
          <xdr:nvSpPr>
            <xdr:cNvPr id="121" name="Rectangle: Rounded Corners 120">
              <a:extLst>
                <a:ext uri="{FF2B5EF4-FFF2-40B4-BE49-F238E27FC236}">
                  <a16:creationId xmlns:a16="http://schemas.microsoft.com/office/drawing/2014/main" id="{00000000-0008-0000-0300-000079000000}"/>
                </a:ext>
              </a:extLst>
            </xdr:cNvPr>
            <xdr:cNvSpPr/>
          </xdr:nvSpPr>
          <xdr:spPr>
            <a:xfrm>
              <a:off x="12477797625" y="985102"/>
              <a:ext cx="6766246" cy="4429565"/>
            </a:xfrm>
            <a:prstGeom prst="roundRect">
              <a:avLst>
                <a:gd name="adj" fmla="val 2221"/>
              </a:avLst>
            </a:prstGeom>
            <a:solidFill>
              <a:schemeClr val="bg1"/>
            </a:solidFill>
            <a:ln w="6350">
              <a:solidFill>
                <a:srgbClr val="46AAC2"/>
              </a:solidFill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1" anchor="t"/>
            <a:lstStyle/>
            <a:p>
              <a:pPr algn="r" rtl="1"/>
              <a:endParaRPr lang="fa-IR" sz="1100"/>
            </a:p>
          </xdr:txBody>
        </xdr:sp>
        <xdr:sp macro="" textlink="">
          <xdr:nvSpPr>
            <xdr:cNvPr id="122" name="Trapezoid 121">
              <a:extLst>
                <a:ext uri="{FF2B5EF4-FFF2-40B4-BE49-F238E27FC236}">
                  <a16:creationId xmlns:a16="http://schemas.microsoft.com/office/drawing/2014/main" id="{00000000-0008-0000-0300-00007A000000}"/>
                </a:ext>
              </a:extLst>
            </xdr:cNvPr>
            <xdr:cNvSpPr/>
          </xdr:nvSpPr>
          <xdr:spPr>
            <a:xfrm rot="10800000">
              <a:off x="12479678061" y="946497"/>
              <a:ext cx="3448050" cy="287093"/>
            </a:xfrm>
            <a:prstGeom prst="trapezoid">
              <a:avLst/>
            </a:prstGeom>
            <a:solidFill>
              <a:srgbClr val="46AAC2"/>
            </a:solidFill>
            <a:ln>
              <a:solidFill>
                <a:srgbClr val="46AAC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1" anchor="t"/>
            <a:lstStyle/>
            <a:p>
              <a:pPr algn="r" rtl="1"/>
              <a:endParaRPr lang="fa-IR" sz="1100"/>
            </a:p>
          </xdr:txBody>
        </xdr:sp>
      </xdr:grpSp>
      <xdr:sp macro="" textlink="">
        <xdr:nvSpPr>
          <xdr:cNvPr id="125" name="TextBox 124">
            <a:extLst>
              <a:ext uri="{FF2B5EF4-FFF2-40B4-BE49-F238E27FC236}">
                <a16:creationId xmlns:a16="http://schemas.microsoft.com/office/drawing/2014/main" id="{00000000-0008-0000-0300-00007D000000}"/>
              </a:ext>
            </a:extLst>
          </xdr:cNvPr>
          <xdr:cNvSpPr txBox="1"/>
        </xdr:nvSpPr>
        <xdr:spPr>
          <a:xfrm>
            <a:off x="12476877574" y="7434916"/>
            <a:ext cx="3055327" cy="3004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ctr"/>
          <a:lstStyle/>
          <a:p>
            <a:pPr algn="ctr" rtl="1"/>
            <a:r>
              <a:rPr lang="fa-IR" sz="1300" baseline="0">
                <a:solidFill>
                  <a:schemeClr val="bg1"/>
                </a:solidFill>
                <a:effectLst>
                  <a:outerShdw blurRad="50800" dist="38100" dir="8100000" algn="tr" rotWithShape="0">
                    <a:prstClr val="black">
                      <a:alpha val="40000"/>
                    </a:prstClr>
                  </a:outerShdw>
                </a:effectLst>
                <a:latin typeface="B titr"/>
                <a:cs typeface="B Titr" panose="00000700000000000000" pitchFamily="2" charset="-78"/>
              </a:rPr>
              <a:t>هـزینه حقـوق و دستـمزد</a:t>
            </a:r>
            <a:endParaRPr lang="fa-IR" sz="1300">
              <a:solidFill>
                <a:schemeClr val="bg1"/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B titr"/>
              <a:cs typeface="B Titr" panose="00000700000000000000" pitchFamily="2" charset="-78"/>
            </a:endParaRPr>
          </a:p>
        </xdr:txBody>
      </xdr:sp>
      <xdr:graphicFrame macro="">
        <xdr:nvGraphicFramePr>
          <xdr:cNvPr id="129" name="Chart 128">
            <a:extLst>
              <a:ext uri="{FF2B5EF4-FFF2-40B4-BE49-F238E27FC236}">
                <a16:creationId xmlns:a16="http://schemas.microsoft.com/office/drawing/2014/main" id="{00000000-0008-0000-0300-000081000000}"/>
              </a:ext>
            </a:extLst>
          </xdr:cNvPr>
          <xdr:cNvGraphicFramePr>
            <a:graphicFrameLocks/>
          </xdr:cNvGraphicFramePr>
        </xdr:nvGraphicFramePr>
        <xdr:xfrm>
          <a:off x="12473309549" y="8396145"/>
          <a:ext cx="5047744" cy="199852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130" name="Picture 129" descr="Wages Icon #188907 - Free Icons Library">
            <a:extLst>
              <a:ext uri="{FF2B5EF4-FFF2-40B4-BE49-F238E27FC236}">
                <a16:creationId xmlns:a16="http://schemas.microsoft.com/office/drawing/2014/main" id="{00000000-0008-0000-0300-00008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78057947" y="7750499"/>
            <a:ext cx="640788" cy="63795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132" name="Group 131">
            <a:extLst>
              <a:ext uri="{FF2B5EF4-FFF2-40B4-BE49-F238E27FC236}">
                <a16:creationId xmlns:a16="http://schemas.microsoft.com/office/drawing/2014/main" id="{00000000-0008-0000-0300-000084000000}"/>
              </a:ext>
            </a:extLst>
          </xdr:cNvPr>
          <xdr:cNvGrpSpPr/>
        </xdr:nvGrpSpPr>
        <xdr:grpSpPr>
          <a:xfrm>
            <a:off x="12473395821" y="10326501"/>
            <a:ext cx="4903174" cy="314012"/>
            <a:chOff x="12478442150" y="892510"/>
            <a:chExt cx="2482850" cy="326712"/>
          </a:xfrm>
        </xdr:grpSpPr>
        <xdr:grpSp>
          <xdr:nvGrpSpPr>
            <xdr:cNvPr id="133" name="Group 132">
              <a:extLst>
                <a:ext uri="{FF2B5EF4-FFF2-40B4-BE49-F238E27FC236}">
                  <a16:creationId xmlns:a16="http://schemas.microsoft.com/office/drawing/2014/main" id="{00000000-0008-0000-0300-000085000000}"/>
                </a:ext>
              </a:extLst>
            </xdr:cNvPr>
            <xdr:cNvGrpSpPr/>
          </xdr:nvGrpSpPr>
          <xdr:grpSpPr>
            <a:xfrm>
              <a:off x="12478442150" y="964612"/>
              <a:ext cx="2482850" cy="254610"/>
              <a:chOff x="12482150550" y="965200"/>
              <a:chExt cx="2482850" cy="254000"/>
            </a:xfrm>
          </xdr:grpSpPr>
          <xdr:sp macro="" textlink="">
            <xdr:nvSpPr>
              <xdr:cNvPr id="135" name="Rectangle 134">
                <a:extLst>
                  <a:ext uri="{FF2B5EF4-FFF2-40B4-BE49-F238E27FC236}">
                    <a16:creationId xmlns:a16="http://schemas.microsoft.com/office/drawing/2014/main" id="{00000000-0008-0000-0300-000087000000}"/>
                  </a:ext>
                </a:extLst>
              </xdr:cNvPr>
              <xdr:cNvSpPr/>
            </xdr:nvSpPr>
            <xdr:spPr>
              <a:xfrm>
                <a:off x="12482150550" y="965200"/>
                <a:ext cx="2482850" cy="196850"/>
              </a:xfrm>
              <a:prstGeom prst="rect">
                <a:avLst/>
              </a:prstGeom>
              <a:solidFill>
                <a:srgbClr val="3DA1B9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1" anchor="t"/>
              <a:lstStyle/>
              <a:p>
                <a:pPr algn="r" rtl="1"/>
                <a:endParaRPr lang="fa-IR" sz="1100">
                  <a:solidFill>
                    <a:srgbClr val="2D82AD"/>
                  </a:solidFill>
                </a:endParaRPr>
              </a:p>
            </xdr:txBody>
          </xdr:sp>
          <xdr:sp macro="" textlink="">
            <xdr:nvSpPr>
              <xdr:cNvPr id="136" name="Rectangle 135">
                <a:extLst>
                  <a:ext uri="{FF2B5EF4-FFF2-40B4-BE49-F238E27FC236}">
                    <a16:creationId xmlns:a16="http://schemas.microsoft.com/office/drawing/2014/main" id="{00000000-0008-0000-0300-000088000000}"/>
                  </a:ext>
                </a:extLst>
              </xdr:cNvPr>
              <xdr:cNvSpPr/>
            </xdr:nvSpPr>
            <xdr:spPr>
              <a:xfrm>
                <a:off x="12482150550" y="1162050"/>
                <a:ext cx="2482850" cy="57150"/>
              </a:xfrm>
              <a:prstGeom prst="rect">
                <a:avLst/>
              </a:prstGeom>
              <a:solidFill>
                <a:srgbClr val="FBB403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1" anchor="t"/>
              <a:lstStyle/>
              <a:p>
                <a:pPr algn="r" rtl="1"/>
                <a:endParaRPr lang="fa-IR" sz="1100"/>
              </a:p>
            </xdr:txBody>
          </xdr:sp>
        </xdr:grpSp>
        <xdr:sp macro="" textlink="">
          <xdr:nvSpPr>
            <xdr:cNvPr id="134" name="TextBox 133">
              <a:extLst>
                <a:ext uri="{FF2B5EF4-FFF2-40B4-BE49-F238E27FC236}">
                  <a16:creationId xmlns:a16="http://schemas.microsoft.com/office/drawing/2014/main" id="{00000000-0008-0000-0300-000086000000}"/>
                </a:ext>
              </a:extLst>
            </xdr:cNvPr>
            <xdr:cNvSpPr txBox="1"/>
          </xdr:nvSpPr>
          <xdr:spPr>
            <a:xfrm>
              <a:off x="12478593082" y="892510"/>
              <a:ext cx="2154118" cy="31445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r>
                <a:rPr lang="fa-IR" sz="1050" baseline="0">
                  <a:solidFill>
                    <a:schemeClr val="bg1"/>
                  </a:solidFill>
                  <a:effectLst>
                    <a:outerShdw blurRad="50800" dist="38100" dir="8100000" algn="tr" rotWithShape="0">
                      <a:prstClr val="black">
                        <a:alpha val="40000"/>
                      </a:prstClr>
                    </a:outerShdw>
                  </a:effectLst>
                  <a:latin typeface="Tahoma" panose="020B0604030504040204" pitchFamily="34" charset="0"/>
                  <a:ea typeface="Tahoma" panose="020B0604030504040204" pitchFamily="34" charset="0"/>
                  <a:cs typeface="B Titr" panose="00000700000000000000" pitchFamily="2" charset="-78"/>
                </a:rPr>
                <a:t> بندرعباس</a:t>
              </a:r>
              <a:endParaRPr lang="fa-IR" sz="1050">
                <a:solidFill>
                  <a:schemeClr val="bg1"/>
                </a:solidFill>
                <a:effectLst>
                  <a:outerShdw blurRad="50800" dist="38100" dir="8100000" algn="tr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B Titr" panose="00000700000000000000" pitchFamily="2" charset="-78"/>
              </a:endParaRPr>
            </a:p>
          </xdr:txBody>
        </xdr:sp>
      </xdr:grpSp>
      <xdr:grpSp>
        <xdr:nvGrpSpPr>
          <xdr:cNvPr id="137" name="Group 136">
            <a:extLst>
              <a:ext uri="{FF2B5EF4-FFF2-40B4-BE49-F238E27FC236}">
                <a16:creationId xmlns:a16="http://schemas.microsoft.com/office/drawing/2014/main" id="{00000000-0008-0000-0300-000089000000}"/>
              </a:ext>
            </a:extLst>
          </xdr:cNvPr>
          <xdr:cNvGrpSpPr/>
        </xdr:nvGrpSpPr>
        <xdr:grpSpPr>
          <a:xfrm>
            <a:off x="12478460189" y="10326502"/>
            <a:ext cx="4674577" cy="314012"/>
            <a:chOff x="12478442150" y="892510"/>
            <a:chExt cx="2482850" cy="326712"/>
          </a:xfrm>
        </xdr:grpSpPr>
        <xdr:grpSp>
          <xdr:nvGrpSpPr>
            <xdr:cNvPr id="138" name="Group 137">
              <a:extLst>
                <a:ext uri="{FF2B5EF4-FFF2-40B4-BE49-F238E27FC236}">
                  <a16:creationId xmlns:a16="http://schemas.microsoft.com/office/drawing/2014/main" id="{00000000-0008-0000-0300-00008A000000}"/>
                </a:ext>
              </a:extLst>
            </xdr:cNvPr>
            <xdr:cNvGrpSpPr/>
          </xdr:nvGrpSpPr>
          <xdr:grpSpPr>
            <a:xfrm>
              <a:off x="12478442150" y="964612"/>
              <a:ext cx="2482850" cy="254610"/>
              <a:chOff x="12482150550" y="965200"/>
              <a:chExt cx="2482850" cy="254000"/>
            </a:xfrm>
          </xdr:grpSpPr>
          <xdr:sp macro="" textlink="">
            <xdr:nvSpPr>
              <xdr:cNvPr id="140" name="Rectangle 139">
                <a:extLst>
                  <a:ext uri="{FF2B5EF4-FFF2-40B4-BE49-F238E27FC236}">
                    <a16:creationId xmlns:a16="http://schemas.microsoft.com/office/drawing/2014/main" id="{00000000-0008-0000-0300-00008C000000}"/>
                  </a:ext>
                </a:extLst>
              </xdr:cNvPr>
              <xdr:cNvSpPr/>
            </xdr:nvSpPr>
            <xdr:spPr>
              <a:xfrm>
                <a:off x="12482150550" y="965200"/>
                <a:ext cx="2482850" cy="196850"/>
              </a:xfrm>
              <a:prstGeom prst="rect">
                <a:avLst/>
              </a:prstGeom>
              <a:solidFill>
                <a:srgbClr val="3DA1B9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1" anchor="t"/>
              <a:lstStyle/>
              <a:p>
                <a:pPr algn="r" rtl="1"/>
                <a:endParaRPr lang="fa-IR" sz="1100">
                  <a:solidFill>
                    <a:srgbClr val="2D82AD"/>
                  </a:solidFill>
                </a:endParaRPr>
              </a:p>
            </xdr:txBody>
          </xdr:sp>
          <xdr:sp macro="" textlink="">
            <xdr:nvSpPr>
              <xdr:cNvPr id="141" name="Rectangle 140">
                <a:extLst>
                  <a:ext uri="{FF2B5EF4-FFF2-40B4-BE49-F238E27FC236}">
                    <a16:creationId xmlns:a16="http://schemas.microsoft.com/office/drawing/2014/main" id="{00000000-0008-0000-0300-00008D000000}"/>
                  </a:ext>
                </a:extLst>
              </xdr:cNvPr>
              <xdr:cNvSpPr/>
            </xdr:nvSpPr>
            <xdr:spPr>
              <a:xfrm>
                <a:off x="12482150550" y="1162050"/>
                <a:ext cx="2482850" cy="57150"/>
              </a:xfrm>
              <a:prstGeom prst="rect">
                <a:avLst/>
              </a:prstGeom>
              <a:solidFill>
                <a:srgbClr val="FBB403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1" anchor="t"/>
              <a:lstStyle/>
              <a:p>
                <a:pPr algn="r" rtl="1"/>
                <a:endParaRPr lang="fa-IR" sz="1100"/>
              </a:p>
            </xdr:txBody>
          </xdr:sp>
        </xdr:grpSp>
        <xdr:sp macro="" textlink="">
          <xdr:nvSpPr>
            <xdr:cNvPr id="139" name="TextBox 138">
              <a:extLst>
                <a:ext uri="{FF2B5EF4-FFF2-40B4-BE49-F238E27FC236}">
                  <a16:creationId xmlns:a16="http://schemas.microsoft.com/office/drawing/2014/main" id="{00000000-0008-0000-0300-00008B000000}"/>
                </a:ext>
              </a:extLst>
            </xdr:cNvPr>
            <xdr:cNvSpPr txBox="1"/>
          </xdr:nvSpPr>
          <xdr:spPr>
            <a:xfrm>
              <a:off x="12478593082" y="892510"/>
              <a:ext cx="2154118" cy="31445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r>
                <a:rPr lang="fa-IR" sz="1050" baseline="0">
                  <a:solidFill>
                    <a:schemeClr val="bg1"/>
                  </a:solidFill>
                  <a:effectLst>
                    <a:outerShdw blurRad="50800" dist="38100" dir="8100000" algn="tr" rotWithShape="0">
                      <a:prstClr val="black">
                        <a:alpha val="40000"/>
                      </a:prstClr>
                    </a:outerShdw>
                  </a:effectLst>
                  <a:latin typeface="Tahoma" panose="020B0604030504040204" pitchFamily="34" charset="0"/>
                  <a:ea typeface="Tahoma" panose="020B0604030504040204" pitchFamily="34" charset="0"/>
                  <a:cs typeface="B Titr" panose="00000700000000000000" pitchFamily="2" charset="-78"/>
                </a:rPr>
                <a:t>دفتر مرکزی</a:t>
              </a:r>
              <a:endParaRPr lang="fa-IR" sz="1050">
                <a:solidFill>
                  <a:schemeClr val="bg1"/>
                </a:solidFill>
                <a:effectLst>
                  <a:outerShdw blurRad="50800" dist="38100" dir="8100000" algn="tr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B Titr" panose="00000700000000000000" pitchFamily="2" charset="-78"/>
              </a:endParaRPr>
            </a:p>
          </xdr:txBody>
        </xdr:sp>
      </xdr:grpSp>
      <xdr:grpSp>
        <xdr:nvGrpSpPr>
          <xdr:cNvPr id="77" name="Group 76">
            <a:extLst>
              <a:ext uri="{FF2B5EF4-FFF2-40B4-BE49-F238E27FC236}">
                <a16:creationId xmlns:a16="http://schemas.microsoft.com/office/drawing/2014/main" id="{00000000-0008-0000-0300-00004D000000}"/>
              </a:ext>
            </a:extLst>
          </xdr:cNvPr>
          <xdr:cNvGrpSpPr/>
        </xdr:nvGrpSpPr>
        <xdr:grpSpPr>
          <a:xfrm>
            <a:off x="12481692876" y="7802783"/>
            <a:ext cx="1415360" cy="561601"/>
            <a:chOff x="12481692876" y="7802783"/>
            <a:chExt cx="1415360" cy="561601"/>
          </a:xfrm>
        </xdr:grpSpPr>
        <xdr:sp macro="" textlink="">
          <xdr:nvSpPr>
            <xdr:cNvPr id="143" name="TextBox 142">
              <a:extLst>
                <a:ext uri="{FF2B5EF4-FFF2-40B4-BE49-F238E27FC236}">
                  <a16:creationId xmlns:a16="http://schemas.microsoft.com/office/drawing/2014/main" id="{00000000-0008-0000-0300-00008F000000}"/>
                </a:ext>
              </a:extLst>
            </xdr:cNvPr>
            <xdr:cNvSpPr txBox="1"/>
          </xdr:nvSpPr>
          <xdr:spPr>
            <a:xfrm>
              <a:off x="12482727724" y="7802783"/>
              <a:ext cx="380512" cy="53356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r>
                <a:rPr lang="fa-IR" sz="3600">
                  <a:solidFill>
                    <a:srgbClr val="019BA7"/>
                  </a:solidFill>
                  <a:effectLst>
                    <a:outerShdw blurRad="50800" dist="38100" dir="8100000" algn="tr" rotWithShape="0">
                      <a:prstClr val="black">
                        <a:alpha val="40000"/>
                      </a:prstClr>
                    </a:outerShdw>
                  </a:effectLst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  <a:sym typeface="Webdings" panose="05030102010509060703" pitchFamily="18" charset="2"/>
                </a:rPr>
                <a:t></a:t>
              </a:r>
              <a:endParaRPr lang="fa-IR" sz="3600">
                <a:solidFill>
                  <a:srgbClr val="019BA7"/>
                </a:solidFill>
                <a:effectLst>
                  <a:outerShdw blurRad="50800" dist="38100" dir="8100000" algn="tr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  <xdr:sp macro="" textlink="calc!F245">
          <xdr:nvSpPr>
            <xdr:cNvPr id="146" name="TextBox 145">
              <a:extLst>
                <a:ext uri="{FF2B5EF4-FFF2-40B4-BE49-F238E27FC236}">
                  <a16:creationId xmlns:a16="http://schemas.microsoft.com/office/drawing/2014/main" id="{00000000-0008-0000-0300-000092000000}"/>
                </a:ext>
              </a:extLst>
            </xdr:cNvPr>
            <xdr:cNvSpPr txBox="1"/>
          </xdr:nvSpPr>
          <xdr:spPr>
            <a:xfrm>
              <a:off x="12481701832" y="8003944"/>
              <a:ext cx="1106365" cy="31505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fld id="{A35BC166-699A-4480-B25B-C16EB1EB72B6}" type="TxLink">
                <a:rPr lang="en-US" sz="1400" b="1" i="0" u="none" strike="noStrike">
                  <a:solidFill>
                    <a:srgbClr val="3DA1B9"/>
                  </a:solidFill>
                  <a:latin typeface="Agency FB" panose="020B0503020202020204" pitchFamily="34" charset="0"/>
                  <a:cs typeface="B Nazanin"/>
                </a:rPr>
                <a:pPr algn="ctr" rtl="1"/>
                <a:t>517,744,161</a:t>
              </a:fld>
              <a:endParaRPr lang="fa-IR" sz="1100" b="1">
                <a:solidFill>
                  <a:srgbClr val="3DA1B9"/>
                </a:solidFill>
                <a:latin typeface="Agency FB" panose="020B0503020202020204" pitchFamily="34" charset="0"/>
              </a:endParaRPr>
            </a:p>
          </xdr:txBody>
        </xdr:sp>
        <mc:AlternateContent xmlns:mc="http://schemas.openxmlformats.org/markup-compatibility/2006" xmlns:a14="http://schemas.microsoft.com/office/drawing/2010/main">
          <mc:Choice Requires="a14">
            <xdr:sp macro="" textlink="">
              <xdr:nvSpPr>
                <xdr:cNvPr id="147" name="TextBox 146">
                  <a:extLst>
                    <a:ext uri="{FF2B5EF4-FFF2-40B4-BE49-F238E27FC236}">
                      <a16:creationId xmlns:a16="http://schemas.microsoft.com/office/drawing/2014/main" id="{00000000-0008-0000-0300-000093000000}"/>
                    </a:ext>
                  </a:extLst>
                </xdr:cNvPr>
                <xdr:cNvSpPr txBox="1"/>
              </xdr:nvSpPr>
              <xdr:spPr>
                <a:xfrm flipH="1">
                  <a:off x="12481692876" y="7954464"/>
                  <a:ext cx="319068" cy="409920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lIns="0" tIns="0" rIns="0" bIns="0" rtlCol="1" anchor="t">
                  <a:spAutoFit/>
                </a:bodyPr>
                <a:lstStyle/>
                <a:p>
                  <a:pPr algn="r" rtl="1"/>
                  <a14:m>
                    <m:oMathPara xmlns:m="http://schemas.openxmlformats.org/officeDocument/2006/math">
                      <m:oMathParaPr>
                        <m:jc m:val="centerGroup"/>
                      </m:oMathParaPr>
                      <m:oMath xmlns:m="http://schemas.openxmlformats.org/officeDocument/2006/math"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fa-IR" sz="1100" i="1">
                                <a:solidFill>
                                  <a:srgbClr val="3DA1B9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/>
                        </m:nary>
                      </m:oMath>
                    </m:oMathPara>
                  </a14:m>
                  <a:endParaRPr lang="fa-IR" sz="1100">
                    <a:solidFill>
                      <a:srgbClr val="3DA1B9"/>
                    </a:solidFill>
                  </a:endParaRPr>
                </a:p>
              </xdr:txBody>
            </xdr:sp>
          </mc:Choice>
          <mc:Fallback xmlns="">
            <xdr:sp macro="" textlink="">
              <xdr:nvSpPr>
                <xdr:cNvPr id="147" name="TextBox 146">
                  <a:extLst>
                    <a:ext uri="{FF2B5EF4-FFF2-40B4-BE49-F238E27FC236}">
                      <a16:creationId xmlns:a16="http://schemas.microsoft.com/office/drawing/2014/main" id="{00000000-0008-0000-0300-000093000000}"/>
                    </a:ext>
                  </a:extLst>
                </xdr:cNvPr>
                <xdr:cNvSpPr txBox="1"/>
              </xdr:nvSpPr>
              <xdr:spPr>
                <a:xfrm flipH="1">
                  <a:off x="12481692876" y="7954464"/>
                  <a:ext cx="319068" cy="409920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lIns="0" tIns="0" rIns="0" bIns="0" rtlCol="1" anchor="t">
                  <a:spAutoFit/>
                </a:bodyPr>
                <a:lstStyle/>
                <a:p>
                  <a:pPr algn="r" rtl="1"/>
                  <a:r>
                    <a:rPr lang="fa-IR" sz="1100" i="0">
                      <a:solidFill>
                        <a:srgbClr val="3DA1B9"/>
                      </a:solidFill>
                      <a:latin typeface="Cambria Math" panose="02040503050406030204" pitchFamily="18" charset="0"/>
                    </a:rPr>
                    <a:t>∑</a:t>
                  </a:r>
                  <a:endParaRPr lang="fa-IR" sz="1100">
                    <a:solidFill>
                      <a:srgbClr val="3DA1B9"/>
                    </a:solidFill>
                  </a:endParaRPr>
                </a:p>
              </xdr:txBody>
            </xdr:sp>
          </mc:Fallback>
        </mc:AlternateContent>
      </xdr:grpSp>
      <xdr:grpSp>
        <xdr:nvGrpSpPr>
          <xdr:cNvPr id="76" name="Group 75">
            <a:extLst>
              <a:ext uri="{FF2B5EF4-FFF2-40B4-BE49-F238E27FC236}">
                <a16:creationId xmlns:a16="http://schemas.microsoft.com/office/drawing/2014/main" id="{00000000-0008-0000-0300-00004C000000}"/>
              </a:ext>
            </a:extLst>
          </xdr:cNvPr>
          <xdr:cNvGrpSpPr/>
        </xdr:nvGrpSpPr>
        <xdr:grpSpPr>
          <a:xfrm>
            <a:off x="12473401507" y="7802783"/>
            <a:ext cx="1504489" cy="561601"/>
            <a:chOff x="12473401507" y="7802783"/>
            <a:chExt cx="1504489" cy="561601"/>
          </a:xfrm>
        </xdr:grpSpPr>
        <xdr:sp macro="" textlink="calc!F232">
          <xdr:nvSpPr>
            <xdr:cNvPr id="144" name="TextBox 143">
              <a:extLst>
                <a:ext uri="{FF2B5EF4-FFF2-40B4-BE49-F238E27FC236}">
                  <a16:creationId xmlns:a16="http://schemas.microsoft.com/office/drawing/2014/main" id="{00000000-0008-0000-0300-000090000000}"/>
                </a:ext>
              </a:extLst>
            </xdr:cNvPr>
            <xdr:cNvSpPr txBox="1"/>
          </xdr:nvSpPr>
          <xdr:spPr>
            <a:xfrm>
              <a:off x="12473799631" y="8003944"/>
              <a:ext cx="1106365" cy="31505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fld id="{05C2A139-B495-4116-A05F-7A26199C8743}" type="TxLink">
                <a:rPr lang="en-US" sz="1400" b="1" i="0" u="none" strike="noStrike">
                  <a:solidFill>
                    <a:srgbClr val="3DA1B9"/>
                  </a:solidFill>
                  <a:latin typeface="Agency FB" panose="020B0503020202020204" pitchFamily="34" charset="0"/>
                  <a:cs typeface="B Nazanin"/>
                </a:rPr>
                <a:pPr algn="ctr" rtl="1"/>
                <a:t>1,517,741,271</a:t>
              </a:fld>
              <a:endParaRPr lang="fa-IR" sz="1100" b="1">
                <a:solidFill>
                  <a:srgbClr val="3DA1B9"/>
                </a:solidFill>
                <a:latin typeface="Agency FB" panose="020B0503020202020204" pitchFamily="34" charset="0"/>
              </a:endParaRPr>
            </a:p>
          </xdr:txBody>
        </xdr:sp>
        <mc:AlternateContent xmlns:mc="http://schemas.openxmlformats.org/markup-compatibility/2006" xmlns:a14="http://schemas.microsoft.com/office/drawing/2010/main">
          <mc:Choice Requires="a14">
            <xdr:sp macro="" textlink="">
              <xdr:nvSpPr>
                <xdr:cNvPr id="145" name="TextBox 144">
                  <a:extLst>
                    <a:ext uri="{FF2B5EF4-FFF2-40B4-BE49-F238E27FC236}">
                      <a16:creationId xmlns:a16="http://schemas.microsoft.com/office/drawing/2014/main" id="{00000000-0008-0000-0300-000091000000}"/>
                    </a:ext>
                  </a:extLst>
                </xdr:cNvPr>
                <xdr:cNvSpPr txBox="1"/>
              </xdr:nvSpPr>
              <xdr:spPr>
                <a:xfrm flipH="1">
                  <a:off x="12473725007" y="7954464"/>
                  <a:ext cx="319068" cy="409920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lIns="0" tIns="0" rIns="0" bIns="0" rtlCol="1" anchor="t">
                  <a:spAutoFit/>
                </a:bodyPr>
                <a:lstStyle/>
                <a:p>
                  <a:pPr algn="r" rtl="1"/>
                  <a14:m>
                    <m:oMathPara xmlns:m="http://schemas.openxmlformats.org/officeDocument/2006/math">
                      <m:oMathParaPr>
                        <m:jc m:val="centerGroup"/>
                      </m:oMathParaPr>
                      <m:oMath xmlns:m="http://schemas.openxmlformats.org/officeDocument/2006/math"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fa-IR" sz="1100" i="1">
                                <a:solidFill>
                                  <a:srgbClr val="3DA1B9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/>
                        </m:nary>
                      </m:oMath>
                    </m:oMathPara>
                  </a14:m>
                  <a:endParaRPr lang="fa-IR" sz="1100">
                    <a:solidFill>
                      <a:srgbClr val="3DA1B9"/>
                    </a:solidFill>
                  </a:endParaRPr>
                </a:p>
              </xdr:txBody>
            </xdr:sp>
          </mc:Choice>
          <mc:Fallback xmlns="">
            <xdr:sp macro="" textlink="">
              <xdr:nvSpPr>
                <xdr:cNvPr id="145" name="TextBox 144">
                  <a:extLst>
                    <a:ext uri="{FF2B5EF4-FFF2-40B4-BE49-F238E27FC236}">
                      <a16:creationId xmlns:a16="http://schemas.microsoft.com/office/drawing/2014/main" id="{00000000-0008-0000-0300-000091000000}"/>
                    </a:ext>
                  </a:extLst>
                </xdr:cNvPr>
                <xdr:cNvSpPr txBox="1"/>
              </xdr:nvSpPr>
              <xdr:spPr>
                <a:xfrm flipH="1">
                  <a:off x="12473725007" y="7954464"/>
                  <a:ext cx="319068" cy="409920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lIns="0" tIns="0" rIns="0" bIns="0" rtlCol="1" anchor="t">
                  <a:spAutoFit/>
                </a:bodyPr>
                <a:lstStyle/>
                <a:p>
                  <a:pPr algn="r" rtl="1"/>
                  <a:r>
                    <a:rPr lang="fa-IR" sz="1100" i="0">
                      <a:solidFill>
                        <a:srgbClr val="3DA1B9"/>
                      </a:solidFill>
                      <a:latin typeface="Cambria Math" panose="02040503050406030204" pitchFamily="18" charset="0"/>
                    </a:rPr>
                    <a:t>∑</a:t>
                  </a:r>
                  <a:endParaRPr lang="fa-IR" sz="1100">
                    <a:solidFill>
                      <a:srgbClr val="3DA1B9"/>
                    </a:solidFill>
                  </a:endParaRPr>
                </a:p>
              </xdr:txBody>
            </xdr:sp>
          </mc:Fallback>
        </mc:AlternateContent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300-000094000000}"/>
                </a:ext>
              </a:extLst>
            </xdr:cNvPr>
            <xdr:cNvSpPr txBox="1"/>
          </xdr:nvSpPr>
          <xdr:spPr>
            <a:xfrm>
              <a:off x="12473401507" y="7802783"/>
              <a:ext cx="380512" cy="53356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r>
                <a:rPr lang="fa-IR" sz="3600">
                  <a:solidFill>
                    <a:srgbClr val="019BA7"/>
                  </a:solidFill>
                  <a:effectLst>
                    <a:outerShdw blurRad="50800" dist="38100" dir="8100000" algn="tr" rotWithShape="0">
                      <a:prstClr val="black">
                        <a:alpha val="40000"/>
                      </a:prstClr>
                    </a:outerShdw>
                  </a:effectLst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  <a:sym typeface="Webdings" panose="05030102010509060703" pitchFamily="18" charset="2"/>
                </a:rPr>
                <a:t></a:t>
              </a:r>
              <a:endParaRPr lang="fa-IR" sz="3600">
                <a:solidFill>
                  <a:srgbClr val="019BA7"/>
                </a:solidFill>
                <a:effectLst>
                  <a:outerShdw blurRad="50800" dist="38100" dir="8100000" algn="tr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xdr:grpSp>
      <xdr:graphicFrame macro="">
        <xdr:nvGraphicFramePr>
          <xdr:cNvPr id="149" name="Chart 148">
            <a:extLst>
              <a:ext uri="{FF2B5EF4-FFF2-40B4-BE49-F238E27FC236}">
                <a16:creationId xmlns:a16="http://schemas.microsoft.com/office/drawing/2014/main" id="{00000000-0008-0000-0300-000095000000}"/>
              </a:ext>
            </a:extLst>
          </xdr:cNvPr>
          <xdr:cNvGraphicFramePr>
            <a:graphicFrameLocks/>
          </xdr:cNvGraphicFramePr>
        </xdr:nvGraphicFramePr>
        <xdr:xfrm>
          <a:off x="12478382139" y="8336445"/>
          <a:ext cx="4737654" cy="205650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  <xdr:twoCellAnchor>
    <xdr:from>
      <xdr:col>0</xdr:col>
      <xdr:colOff>21981</xdr:colOff>
      <xdr:row>0</xdr:row>
      <xdr:rowOff>34438</xdr:rowOff>
    </xdr:from>
    <xdr:to>
      <xdr:col>13</xdr:col>
      <xdr:colOff>747346</xdr:colOff>
      <xdr:row>2</xdr:row>
      <xdr:rowOff>109904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2473954654" y="34438"/>
          <a:ext cx="9906000" cy="646966"/>
        </a:xfrm>
        <a:prstGeom prst="roundRect">
          <a:avLst/>
        </a:prstGeom>
        <a:gradFill flip="none" rotWithShape="1">
          <a:gsLst>
            <a:gs pos="83000">
              <a:srgbClr val="46AAC2"/>
            </a:gs>
            <a:gs pos="100000">
              <a:srgbClr val="46AAC2"/>
            </a:gs>
            <a:gs pos="22000">
              <a:schemeClr val="bg1"/>
            </a:gs>
            <a:gs pos="100000">
              <a:srgbClr val="2D82AD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fa-IR" sz="1100"/>
        </a:p>
      </xdr:txBody>
    </xdr:sp>
    <xdr:clientData/>
  </xdr:twoCellAnchor>
  <xdr:twoCellAnchor>
    <xdr:from>
      <xdr:col>1</xdr:col>
      <xdr:colOff>120894</xdr:colOff>
      <xdr:row>0</xdr:row>
      <xdr:rowOff>65941</xdr:rowOff>
    </xdr:from>
    <xdr:to>
      <xdr:col>6</xdr:col>
      <xdr:colOff>206619</xdr:colOff>
      <xdr:row>2</xdr:row>
      <xdr:rowOff>20514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2479829381" y="65941"/>
          <a:ext cx="3895725" cy="5260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r" rtl="1"/>
          <a:r>
            <a:rPr lang="fa-IR" sz="2000">
              <a:solidFill>
                <a:schemeClr val="bg1"/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B titr"/>
              <a:cs typeface="B Titr" panose="00000700000000000000" pitchFamily="2" charset="-78"/>
            </a:rPr>
            <a:t>داشبـورد</a:t>
          </a:r>
          <a:r>
            <a:rPr lang="fa-IR" sz="2000" baseline="0">
              <a:solidFill>
                <a:schemeClr val="bg1"/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B titr"/>
              <a:cs typeface="B Titr" panose="00000700000000000000" pitchFamily="2" charset="-78"/>
            </a:rPr>
            <a:t> آنالیـز حقـوق و دستمـزد</a:t>
          </a:r>
          <a:endParaRPr lang="fa-IR" sz="2000">
            <a:solidFill>
              <a:schemeClr val="bg1"/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latin typeface="B titr"/>
            <a:cs typeface="B Titr" panose="00000700000000000000" pitchFamily="2" charset="-78"/>
          </a:endParaRPr>
        </a:p>
      </xdr:txBody>
    </xdr:sp>
    <xdr:clientData/>
  </xdr:twoCellAnchor>
  <xdr:twoCellAnchor editAs="oneCell">
    <xdr:from>
      <xdr:col>11</xdr:col>
      <xdr:colOff>564175</xdr:colOff>
      <xdr:row>0</xdr:row>
      <xdr:rowOff>0</xdr:rowOff>
    </xdr:from>
    <xdr:to>
      <xdr:col>13</xdr:col>
      <xdr:colOff>405425</xdr:colOff>
      <xdr:row>2</xdr:row>
      <xdr:rowOff>165099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4" cstate="print">
          <a:grayscl/>
          <a:biLevel thresh="50000"/>
        </a:blip>
        <a:srcRect/>
        <a:stretch>
          <a:fillRect/>
        </a:stretch>
      </xdr:blipFill>
      <xdr:spPr bwMode="auto">
        <a:xfrm>
          <a:off x="12474296575" y="0"/>
          <a:ext cx="1365250" cy="736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376647</xdr:colOff>
      <xdr:row>3</xdr:row>
      <xdr:rowOff>216102</xdr:rowOff>
    </xdr:from>
    <xdr:to>
      <xdr:col>17</xdr:col>
      <xdr:colOff>405222</xdr:colOff>
      <xdr:row>6</xdr:row>
      <xdr:rowOff>27941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GrpSpPr/>
      </xdr:nvGrpSpPr>
      <xdr:grpSpPr>
        <a:xfrm>
          <a:off x="12471248778" y="1073352"/>
          <a:ext cx="1552575" cy="669089"/>
          <a:chOff x="12472520775" y="1638300"/>
          <a:chExt cx="1552575" cy="666769"/>
        </a:xfrm>
      </xdr:grpSpPr>
      <xdr:grpSp>
        <xdr:nvGrpSpPr>
          <xdr:cNvPr id="29" name="Group 28">
            <a:extLst>
              <a:ext uri="{FF2B5EF4-FFF2-40B4-BE49-F238E27FC236}">
                <a16:creationId xmlns:a16="http://schemas.microsoft.com/office/drawing/2014/main" id="{00000000-0008-0000-0300-00001D000000}"/>
              </a:ext>
            </a:extLst>
          </xdr:cNvPr>
          <xdr:cNvGrpSpPr/>
        </xdr:nvGrpSpPr>
        <xdr:grpSpPr>
          <a:xfrm>
            <a:off x="12472520775" y="1638300"/>
            <a:ext cx="1552575" cy="666769"/>
            <a:chOff x="12470872950" y="781050"/>
            <a:chExt cx="1552575" cy="666769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2054" name="Drop Down 6" hidden="1">
                  <a:extLst>
                    <a:ext uri="{63B3BB69-23CF-44E3-9099-C40C66FF867C}">
                      <a14:compatExt spid="_x0000_s2054"/>
                    </a:ext>
                    <a:ext uri="{FF2B5EF4-FFF2-40B4-BE49-F238E27FC236}">
                      <a16:creationId xmlns:a16="http://schemas.microsoft.com/office/drawing/2014/main" id="{00000000-0008-0000-0300-000006080000}"/>
                    </a:ext>
                  </a:extLst>
                </xdr:cNvPr>
                <xdr:cNvSpPr/>
              </xdr:nvSpPr>
              <xdr:spPr bwMode="auto">
                <a:xfrm>
                  <a:off x="12470872950" y="1143008"/>
                  <a:ext cx="1552575" cy="30481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1240B29-F687-4F45-9708-019B960494DF}">
                    <a14:hiddenLine w="9525">
                      <a:noFill/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31" name="TextBox 30">
              <a:extLst>
                <a:ext uri="{FF2B5EF4-FFF2-40B4-BE49-F238E27FC236}">
                  <a16:creationId xmlns:a16="http://schemas.microsoft.com/office/drawing/2014/main" id="{00000000-0008-0000-0300-00001F000000}"/>
                </a:ext>
              </a:extLst>
            </xdr:cNvPr>
            <xdr:cNvSpPr txBox="1"/>
          </xdr:nvSpPr>
          <xdr:spPr>
            <a:xfrm>
              <a:off x="12470882475" y="781050"/>
              <a:ext cx="1514475" cy="3429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r" rtl="1"/>
              <a:r>
                <a:rPr lang="fa-IR" sz="1800" b="1">
                  <a:effectLst>
                    <a:outerShdw blurRad="50800" dist="38100" dir="2700000" algn="tl" rotWithShape="0">
                      <a:prstClr val="black">
                        <a:alpha val="40000"/>
                      </a:prstClr>
                    </a:outerShdw>
                  </a:effectLst>
                  <a:cs typeface="B Nazanin" panose="00000400000000000000" pitchFamily="2" charset="-78"/>
                </a:rPr>
                <a:t>انتخاب</a:t>
              </a:r>
              <a:r>
                <a:rPr lang="fa-IR" sz="1800" b="1" baseline="0">
                  <a:effectLst>
                    <a:outerShdw blurRad="50800" dist="38100" dir="2700000" algn="tl" rotWithShape="0">
                      <a:prstClr val="black">
                        <a:alpha val="40000"/>
                      </a:prstClr>
                    </a:outerShdw>
                  </a:effectLst>
                  <a:cs typeface="B Nazanin" panose="00000400000000000000" pitchFamily="2" charset="-78"/>
                </a:rPr>
                <a:t> سال</a:t>
              </a:r>
              <a:endParaRPr lang="fa-IR" sz="1800" b="1"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cs typeface="B Nazanin" panose="00000400000000000000" pitchFamily="2" charset="-78"/>
              </a:endParaRPr>
            </a:p>
          </xdr:txBody>
        </xdr:sp>
      </xdr:grpSp>
      <xdr:pic>
        <xdr:nvPicPr>
          <xdr:cNvPr id="33" name="Picture 32" descr="Year icon PNG and SVG Vector Free Download">
            <a:extLst>
              <a:ext uri="{FF2B5EF4-FFF2-40B4-BE49-F238E27FC236}">
                <a16:creationId xmlns:a16="http://schemas.microsoft.com/office/drawing/2014/main" id="{00000000-0008-0000-0300-00002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72644601" y="1657351"/>
            <a:ext cx="276224" cy="2762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15</xdr:col>
      <xdr:colOff>383371</xdr:colOff>
      <xdr:row>6</xdr:row>
      <xdr:rowOff>147270</xdr:rowOff>
    </xdr:from>
    <xdr:to>
      <xdr:col>17</xdr:col>
      <xdr:colOff>411946</xdr:colOff>
      <xdr:row>8</xdr:row>
      <xdr:rowOff>257637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GrpSpPr/>
      </xdr:nvGrpSpPr>
      <xdr:grpSpPr>
        <a:xfrm>
          <a:off x="12471242054" y="1861770"/>
          <a:ext cx="1552575" cy="681867"/>
          <a:chOff x="12472568400" y="2428876"/>
          <a:chExt cx="1552575" cy="676264"/>
        </a:xfrm>
      </xdr:grpSpPr>
      <xdr:grpSp>
        <xdr:nvGrpSpPr>
          <xdr:cNvPr id="24" name="Group 23">
            <a:extLst>
              <a:ext uri="{FF2B5EF4-FFF2-40B4-BE49-F238E27FC236}">
                <a16:creationId xmlns:a16="http://schemas.microsoft.com/office/drawing/2014/main" id="{00000000-0008-0000-0300-000018000000}"/>
              </a:ext>
            </a:extLst>
          </xdr:cNvPr>
          <xdr:cNvGrpSpPr/>
        </xdr:nvGrpSpPr>
        <xdr:grpSpPr>
          <a:xfrm>
            <a:off x="12472568400" y="2438400"/>
            <a:ext cx="1552575" cy="666740"/>
            <a:chOff x="12470872950" y="781050"/>
            <a:chExt cx="1552575" cy="666740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2053" name="Drop Down 5" hidden="1">
                  <a:extLst>
                    <a:ext uri="{63B3BB69-23CF-44E3-9099-C40C66FF867C}">
                      <a14:compatExt spid="_x0000_s2053"/>
                    </a:ext>
                    <a:ext uri="{FF2B5EF4-FFF2-40B4-BE49-F238E27FC236}">
                      <a16:creationId xmlns:a16="http://schemas.microsoft.com/office/drawing/2014/main" id="{00000000-0008-0000-0300-000005080000}"/>
                    </a:ext>
                  </a:extLst>
                </xdr:cNvPr>
                <xdr:cNvSpPr/>
              </xdr:nvSpPr>
              <xdr:spPr bwMode="auto">
                <a:xfrm>
                  <a:off x="12470872950" y="1142989"/>
                  <a:ext cx="1552575" cy="30480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1240B29-F687-4F45-9708-019B960494DF}">
                    <a14:hiddenLine w="9525">
                      <a:noFill/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SpPr txBox="1"/>
          </xdr:nvSpPr>
          <xdr:spPr>
            <a:xfrm>
              <a:off x="12470882475" y="781050"/>
              <a:ext cx="1514475" cy="3429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r" rtl="1"/>
              <a:r>
                <a:rPr lang="fa-IR" sz="1800" b="1">
                  <a:effectLst>
                    <a:outerShdw blurRad="50800" dist="38100" dir="2700000" algn="tl" rotWithShape="0">
                      <a:prstClr val="black">
                        <a:alpha val="40000"/>
                      </a:prstClr>
                    </a:outerShdw>
                  </a:effectLst>
                  <a:cs typeface="B Nazanin" panose="00000400000000000000" pitchFamily="2" charset="-78"/>
                </a:rPr>
                <a:t>انتخاب</a:t>
              </a:r>
              <a:r>
                <a:rPr lang="fa-IR" sz="1800" b="1" baseline="0">
                  <a:effectLst>
                    <a:outerShdw blurRad="50800" dist="38100" dir="2700000" algn="tl" rotWithShape="0">
                      <a:prstClr val="black">
                        <a:alpha val="40000"/>
                      </a:prstClr>
                    </a:outerShdw>
                  </a:effectLst>
                  <a:cs typeface="B Nazanin" panose="00000400000000000000" pitchFamily="2" charset="-78"/>
                </a:rPr>
                <a:t> ماه</a:t>
              </a:r>
              <a:endParaRPr lang="fa-IR" sz="1800" b="1"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cs typeface="B Nazanin" panose="00000400000000000000" pitchFamily="2" charset="-78"/>
              </a:endParaRPr>
            </a:p>
          </xdr:txBody>
        </xdr:sp>
      </xdr:grpSp>
      <xdr:pic>
        <xdr:nvPicPr>
          <xdr:cNvPr id="35" name="Picture 34" descr="Month icon PNG and SVG Vector Free Download">
            <a:extLst>
              <a:ext uri="{FF2B5EF4-FFF2-40B4-BE49-F238E27FC236}">
                <a16:creationId xmlns:a16="http://schemas.microsoft.com/office/drawing/2014/main" id="{00000000-0008-0000-0300-00002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72711276" y="2428876"/>
            <a:ext cx="314324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15</xdr:col>
      <xdr:colOff>490905</xdr:colOff>
      <xdr:row>9</xdr:row>
      <xdr:rowOff>161192</xdr:rowOff>
    </xdr:from>
    <xdr:to>
      <xdr:col>17</xdr:col>
      <xdr:colOff>256445</xdr:colOff>
      <xdr:row>10</xdr:row>
      <xdr:rowOff>234462</xdr:rowOff>
    </xdr:to>
    <xdr:sp macro="[0]!Sheet1.autoFilterData1" textlink="">
      <xdr:nvSpPr>
        <xdr:cNvPr id="30" name="Rectangle: Rounded Corners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12472159555" y="2447192"/>
          <a:ext cx="1289540" cy="359020"/>
        </a:xfrm>
        <a:prstGeom prst="roundRect">
          <a:avLst/>
        </a:prstGeom>
        <a:solidFill>
          <a:schemeClr val="tx1"/>
        </a:solidFill>
        <a:ln>
          <a:solidFill>
            <a:schemeClr val="tx1"/>
          </a:solidFill>
        </a:ln>
        <a:effectLst>
          <a:outerShdw blurRad="50800" dist="38100" dir="8100000" algn="tr" rotWithShape="0">
            <a:prstClr val="black">
              <a:alpha val="40000"/>
            </a:prstClr>
          </a:outerShdw>
          <a:reflection blurRad="6350" stA="50000" endA="300" endPos="90000" dist="50800" dir="5400000" sy="-100000" algn="bl" rotWithShape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fa-IR" sz="1400" b="1">
              <a:solidFill>
                <a:schemeClr val="bg1"/>
              </a:solidFill>
              <a:cs typeface="B Nazanin" panose="00000400000000000000" pitchFamily="2" charset="-78"/>
            </a:rPr>
            <a:t>فیـلتر</a:t>
          </a:r>
          <a:r>
            <a:rPr lang="fa-IR" sz="1400" b="1" baseline="0">
              <a:solidFill>
                <a:schemeClr val="bg1"/>
              </a:solidFill>
              <a:cs typeface="B Nazanin" panose="00000400000000000000" pitchFamily="2" charset="-78"/>
            </a:rPr>
            <a:t> نمـودارها</a:t>
          </a:r>
          <a:endParaRPr lang="fa-IR" sz="1400" b="1">
            <a:solidFill>
              <a:schemeClr val="bg1"/>
            </a:solidFill>
            <a:cs typeface="B Nazanin" panose="00000400000000000000" pitchFamily="2" charset="-78"/>
          </a:endParaRPr>
        </a:p>
      </xdr:txBody>
    </xdr:sp>
    <xdr:clientData/>
  </xdr:twoCellAnchor>
  <xdr:twoCellAnchor>
    <xdr:from>
      <xdr:col>3</xdr:col>
      <xdr:colOff>16565</xdr:colOff>
      <xdr:row>24</xdr:row>
      <xdr:rowOff>265043</xdr:rowOff>
    </xdr:from>
    <xdr:to>
      <xdr:col>11</xdr:col>
      <xdr:colOff>668130</xdr:colOff>
      <xdr:row>25</xdr:row>
      <xdr:rowOff>285044</xdr:rowOff>
    </xdr:to>
    <xdr:grpSp>
      <xdr:nvGrpSpPr>
        <xdr:cNvPr id="127" name="Group 126"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GrpSpPr/>
      </xdr:nvGrpSpPr>
      <xdr:grpSpPr>
        <a:xfrm>
          <a:off x="12474897924" y="7123043"/>
          <a:ext cx="6747565" cy="305751"/>
          <a:chOff x="12474900645" y="7123043"/>
          <a:chExt cx="6747565" cy="305751"/>
        </a:xfrm>
      </xdr:grpSpPr>
      <xdr:sp macro="" textlink="">
        <xdr:nvSpPr>
          <xdr:cNvPr id="123" name="Rectangle: Rounded Corners 122">
            <a:extLst>
              <a:ext uri="{FF2B5EF4-FFF2-40B4-BE49-F238E27FC236}">
                <a16:creationId xmlns:a16="http://schemas.microsoft.com/office/drawing/2014/main" id="{00000000-0008-0000-0300-00007B000000}"/>
              </a:ext>
            </a:extLst>
          </xdr:cNvPr>
          <xdr:cNvSpPr/>
        </xdr:nvSpPr>
        <xdr:spPr>
          <a:xfrm>
            <a:off x="12474900645" y="7152033"/>
            <a:ext cx="6747565" cy="265043"/>
          </a:xfrm>
          <a:prstGeom prst="roundRect">
            <a:avLst/>
          </a:prstGeom>
          <a:solidFill>
            <a:schemeClr val="tx1">
              <a:lumMod val="50000"/>
              <a:lumOff val="50000"/>
            </a:schemeClr>
          </a:solidFill>
          <a:ln w="6350">
            <a:solidFill>
              <a:srgbClr val="019BA7"/>
            </a:solidFill>
          </a:ln>
          <a:effectLst>
            <a:outerShdw blurRad="50800" dist="38100" dir="8100000" algn="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1" anchor="t"/>
          <a:lstStyle/>
          <a:p>
            <a:pPr algn="r" rtl="1"/>
            <a:endParaRPr lang="fa-IR" sz="1100"/>
          </a:p>
        </xdr:txBody>
      </xdr:sp>
      <xdr:sp macro="" textlink="">
        <xdr:nvSpPr>
          <xdr:cNvPr id="124" name="TextBox 123">
            <a:extLst>
              <a:ext uri="{FF2B5EF4-FFF2-40B4-BE49-F238E27FC236}">
                <a16:creationId xmlns:a16="http://schemas.microsoft.com/office/drawing/2014/main" id="{00000000-0008-0000-0300-00007C000000}"/>
              </a:ext>
            </a:extLst>
          </xdr:cNvPr>
          <xdr:cNvSpPr txBox="1"/>
        </xdr:nvSpPr>
        <xdr:spPr>
          <a:xfrm>
            <a:off x="12476941099" y="7123043"/>
            <a:ext cx="2512219" cy="3057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ctr"/>
          <a:lstStyle/>
          <a:p>
            <a:pPr algn="ctr" rtl="1"/>
            <a:r>
              <a:rPr lang="fa-IR" sz="1050" baseline="0">
                <a:solidFill>
                  <a:schemeClr val="bg1"/>
                </a:solidFill>
                <a:effectLst>
                  <a:outerShdw blurRad="50800" dist="38100" dir="8100000" algn="tr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B Titr" panose="00000700000000000000" pitchFamily="2" charset="-78"/>
              </a:rPr>
              <a:t>تهیه شده در واحد مالی و حسابداری</a:t>
            </a:r>
            <a:endParaRPr lang="fa-IR" sz="1050">
              <a:solidFill>
                <a:schemeClr val="bg1"/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B Titr" panose="00000700000000000000" pitchFamily="2" charset="-78"/>
            </a:endParaRPr>
          </a:p>
        </xdr:txBody>
      </xdr:sp>
    </xdr:grpSp>
    <xdr:clientData/>
  </xdr:twoCellAnchor>
  <xdr:twoCellAnchor>
    <xdr:from>
      <xdr:col>1</xdr:col>
      <xdr:colOff>7357</xdr:colOff>
      <xdr:row>5</xdr:row>
      <xdr:rowOff>165286</xdr:rowOff>
    </xdr:from>
    <xdr:to>
      <xdr:col>13</xdr:col>
      <xdr:colOff>755412</xdr:colOff>
      <xdr:row>25</xdr:row>
      <xdr:rowOff>24847</xdr:rowOff>
    </xdr:to>
    <xdr:grpSp>
      <xdr:nvGrpSpPr>
        <xdr:cNvPr id="75" name="Group 74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GrpSpPr/>
      </xdr:nvGrpSpPr>
      <xdr:grpSpPr>
        <a:xfrm>
          <a:off x="12473286642" y="1594036"/>
          <a:ext cx="9892055" cy="5574561"/>
          <a:chOff x="12473286642" y="1594036"/>
          <a:chExt cx="9892055" cy="5574561"/>
        </a:xfrm>
      </xdr:grpSpPr>
      <xdr:grpSp>
        <xdr:nvGrpSpPr>
          <xdr:cNvPr id="70" name="Group 69">
            <a:extLst>
              <a:ext uri="{FF2B5EF4-FFF2-40B4-BE49-F238E27FC236}">
                <a16:creationId xmlns:a16="http://schemas.microsoft.com/office/drawing/2014/main" id="{00000000-0008-0000-0300-000046000000}"/>
              </a:ext>
            </a:extLst>
          </xdr:cNvPr>
          <xdr:cNvGrpSpPr/>
        </xdr:nvGrpSpPr>
        <xdr:grpSpPr>
          <a:xfrm>
            <a:off x="12473294678" y="4001361"/>
            <a:ext cx="9884019" cy="3167236"/>
            <a:chOff x="12477797625" y="946497"/>
            <a:chExt cx="6766246" cy="4468170"/>
          </a:xfrm>
        </xdr:grpSpPr>
        <xdr:sp macro="" textlink="">
          <xdr:nvSpPr>
            <xdr:cNvPr id="71" name="Isosceles Triangle 70">
              <a:extLst>
                <a:ext uri="{FF2B5EF4-FFF2-40B4-BE49-F238E27FC236}">
                  <a16:creationId xmlns:a16="http://schemas.microsoft.com/office/drawing/2014/main" id="{00000000-0008-0000-0300-000047000000}"/>
                </a:ext>
              </a:extLst>
            </xdr:cNvPr>
            <xdr:cNvSpPr/>
          </xdr:nvSpPr>
          <xdr:spPr>
            <a:xfrm>
              <a:off x="12479631187" y="952766"/>
              <a:ext cx="78960" cy="70434"/>
            </a:xfrm>
            <a:prstGeom prst="triangle">
              <a:avLst/>
            </a:prstGeom>
            <a:solidFill>
              <a:srgbClr val="3DA1B9"/>
            </a:solidFill>
            <a:ln>
              <a:solidFill>
                <a:srgbClr val="3DA1B9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1" anchor="t"/>
            <a:lstStyle/>
            <a:p>
              <a:pPr algn="r" rtl="1"/>
              <a:endParaRPr lang="fa-IR" sz="1100"/>
            </a:p>
          </xdr:txBody>
        </xdr:sp>
        <xdr:sp macro="" textlink="">
          <xdr:nvSpPr>
            <xdr:cNvPr id="72" name="Isosceles Triangle 71">
              <a:extLst>
                <a:ext uri="{FF2B5EF4-FFF2-40B4-BE49-F238E27FC236}">
                  <a16:creationId xmlns:a16="http://schemas.microsoft.com/office/drawing/2014/main" id="{00000000-0008-0000-0300-000048000000}"/>
                </a:ext>
              </a:extLst>
            </xdr:cNvPr>
            <xdr:cNvSpPr/>
          </xdr:nvSpPr>
          <xdr:spPr>
            <a:xfrm>
              <a:off x="12483093525" y="952766"/>
              <a:ext cx="78960" cy="70434"/>
            </a:xfrm>
            <a:prstGeom prst="triangle">
              <a:avLst/>
            </a:prstGeom>
            <a:solidFill>
              <a:srgbClr val="3DA1B9"/>
            </a:solidFill>
            <a:ln>
              <a:solidFill>
                <a:srgbClr val="3DA1B9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1" anchor="t"/>
            <a:lstStyle/>
            <a:p>
              <a:pPr algn="r" rtl="1"/>
              <a:endParaRPr lang="fa-IR" sz="1100"/>
            </a:p>
          </xdr:txBody>
        </xdr:sp>
        <xdr:sp macro="" textlink="">
          <xdr:nvSpPr>
            <xdr:cNvPr id="73" name="Rectangle: Rounded Corners 72">
              <a:extLst>
                <a:ext uri="{FF2B5EF4-FFF2-40B4-BE49-F238E27FC236}">
                  <a16:creationId xmlns:a16="http://schemas.microsoft.com/office/drawing/2014/main" id="{00000000-0008-0000-0300-000049000000}"/>
                </a:ext>
              </a:extLst>
            </xdr:cNvPr>
            <xdr:cNvSpPr/>
          </xdr:nvSpPr>
          <xdr:spPr>
            <a:xfrm>
              <a:off x="12477797625" y="985102"/>
              <a:ext cx="6766246" cy="4429565"/>
            </a:xfrm>
            <a:prstGeom prst="roundRect">
              <a:avLst>
                <a:gd name="adj" fmla="val 2221"/>
              </a:avLst>
            </a:prstGeom>
            <a:solidFill>
              <a:schemeClr val="bg1"/>
            </a:solidFill>
            <a:ln w="6350">
              <a:solidFill>
                <a:srgbClr val="46AAC2"/>
              </a:solidFill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1" anchor="t"/>
            <a:lstStyle/>
            <a:p>
              <a:pPr algn="r" rtl="1"/>
              <a:endParaRPr lang="fa-IR" sz="1100"/>
            </a:p>
          </xdr:txBody>
        </xdr:sp>
        <xdr:sp macro="" textlink="">
          <xdr:nvSpPr>
            <xdr:cNvPr id="74" name="Trapezoid 73">
              <a:extLst>
                <a:ext uri="{FF2B5EF4-FFF2-40B4-BE49-F238E27FC236}">
                  <a16:creationId xmlns:a16="http://schemas.microsoft.com/office/drawing/2014/main" id="{00000000-0008-0000-0300-00004A000000}"/>
                </a:ext>
              </a:extLst>
            </xdr:cNvPr>
            <xdr:cNvSpPr/>
          </xdr:nvSpPr>
          <xdr:spPr>
            <a:xfrm rot="10800000">
              <a:off x="12479678061" y="946497"/>
              <a:ext cx="3448050" cy="287093"/>
            </a:xfrm>
            <a:prstGeom prst="trapezoid">
              <a:avLst/>
            </a:prstGeom>
            <a:solidFill>
              <a:srgbClr val="46AAC2"/>
            </a:solidFill>
            <a:ln>
              <a:solidFill>
                <a:srgbClr val="46AAC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1" anchor="t"/>
            <a:lstStyle/>
            <a:p>
              <a:pPr algn="r" rtl="1"/>
              <a:endParaRPr lang="fa-IR" sz="1100"/>
            </a:p>
          </xdr:txBody>
        </xdr:sp>
      </xdr:grpSp>
      <xdr:grpSp>
        <xdr:nvGrpSpPr>
          <xdr:cNvPr id="52" name="Group 51">
            <a:extLst>
              <a:ext uri="{FF2B5EF4-FFF2-40B4-BE49-F238E27FC236}">
                <a16:creationId xmlns:a16="http://schemas.microsoft.com/office/drawing/2014/main" id="{00000000-0008-0000-0300-000034000000}"/>
              </a:ext>
            </a:extLst>
          </xdr:cNvPr>
          <xdr:cNvGrpSpPr/>
        </xdr:nvGrpSpPr>
        <xdr:grpSpPr>
          <a:xfrm>
            <a:off x="12473422984" y="4079153"/>
            <a:ext cx="1238109" cy="415816"/>
            <a:chOff x="12473422984" y="4079153"/>
            <a:chExt cx="1238109" cy="415816"/>
          </a:xfrm>
        </xdr:grpSpPr>
        <xdr:pic>
          <xdr:nvPicPr>
            <xdr:cNvPr id="79" name="Picture 78">
              <a:extLst>
                <a:ext uri="{FF2B5EF4-FFF2-40B4-BE49-F238E27FC236}">
                  <a16:creationId xmlns:a16="http://schemas.microsoft.com/office/drawing/2014/main" id="{00000000-0008-0000-0300-00004F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7" cstate="print">
              <a:duotone>
                <a:schemeClr val="accent5">
                  <a:shade val="45000"/>
                  <a:satMod val="135000"/>
                </a:scheme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2473422984" y="4079153"/>
              <a:ext cx="431800" cy="415816"/>
            </a:xfrm>
            <a:prstGeom prst="rect">
              <a:avLst/>
            </a:prstGeom>
          </xdr:spPr>
        </xdr:pic>
        <xdr:sp macro="" textlink="calc!D87">
          <xdr:nvSpPr>
            <xdr:cNvPr id="48" name="TextBox 47">
              <a:extLst>
                <a:ext uri="{FF2B5EF4-FFF2-40B4-BE49-F238E27FC236}">
                  <a16:creationId xmlns:a16="http://schemas.microsoft.com/office/drawing/2014/main" id="{00000000-0008-0000-0300-000030000000}"/>
                </a:ext>
              </a:extLst>
            </xdr:cNvPr>
            <xdr:cNvSpPr txBox="1"/>
          </xdr:nvSpPr>
          <xdr:spPr>
            <a:xfrm>
              <a:off x="12473741725" y="4146377"/>
              <a:ext cx="919368" cy="2857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fld id="{9FA73388-B8FF-44CD-B2A6-B64513C8634B}" type="TxLink">
                <a:rPr lang="en-US" sz="1600" b="0" i="0" u="none" strike="noStrike">
                  <a:solidFill>
                    <a:srgbClr val="46AAC2"/>
                  </a:solidFill>
                  <a:latin typeface="Century Gothic" panose="020B0502020202020204" pitchFamily="34" charset="0"/>
                  <a:cs typeface="B Nazanin"/>
                </a:rPr>
                <a:pPr algn="ctr" rtl="1"/>
                <a:t>596.25</a:t>
              </a:fld>
              <a:endParaRPr lang="fa-IR" sz="1200" b="0">
                <a:solidFill>
                  <a:srgbClr val="46AAC2"/>
                </a:solidFill>
                <a:latin typeface="Century Gothic" panose="020B0502020202020204" pitchFamily="34" charset="0"/>
              </a:endParaRPr>
            </a:p>
          </xdr:txBody>
        </xdr:sp>
      </xdr:grpSp>
      <xdr:grpSp>
        <xdr:nvGrpSpPr>
          <xdr:cNvPr id="66" name="Group 65">
            <a:extLst>
              <a:ext uri="{FF2B5EF4-FFF2-40B4-BE49-F238E27FC236}">
                <a16:creationId xmlns:a16="http://schemas.microsoft.com/office/drawing/2014/main" id="{00000000-0008-0000-0300-000042000000}"/>
              </a:ext>
            </a:extLst>
          </xdr:cNvPr>
          <xdr:cNvGrpSpPr/>
        </xdr:nvGrpSpPr>
        <xdr:grpSpPr>
          <a:xfrm>
            <a:off x="12481883086" y="4073745"/>
            <a:ext cx="1170212" cy="418135"/>
            <a:chOff x="12481883086" y="4073745"/>
            <a:chExt cx="1170212" cy="418135"/>
          </a:xfrm>
        </xdr:grpSpPr>
        <xdr:pic>
          <xdr:nvPicPr>
            <xdr:cNvPr id="81" name="Picture 80">
              <a:extLst>
                <a:ext uri="{FF2B5EF4-FFF2-40B4-BE49-F238E27FC236}">
                  <a16:creationId xmlns:a16="http://schemas.microsoft.com/office/drawing/2014/main" id="{00000000-0008-0000-0300-000051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7" cstate="print">
              <a:duotone>
                <a:schemeClr val="accent5">
                  <a:shade val="45000"/>
                  <a:satMod val="135000"/>
                </a:scheme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2482621498" y="4073745"/>
              <a:ext cx="431800" cy="418135"/>
            </a:xfrm>
            <a:prstGeom prst="rect">
              <a:avLst/>
            </a:prstGeom>
          </xdr:spPr>
        </xdr:pic>
        <xdr:sp macro="" textlink="calc!D88">
          <xdr:nvSpPr>
            <xdr:cNvPr id="82" name="TextBox 81">
              <a:extLst>
                <a:ext uri="{FF2B5EF4-FFF2-40B4-BE49-F238E27FC236}">
                  <a16:creationId xmlns:a16="http://schemas.microsoft.com/office/drawing/2014/main" id="{00000000-0008-0000-0300-000052000000}"/>
                </a:ext>
              </a:extLst>
            </xdr:cNvPr>
            <xdr:cNvSpPr txBox="1"/>
          </xdr:nvSpPr>
          <xdr:spPr>
            <a:xfrm>
              <a:off x="12481883086" y="4179922"/>
              <a:ext cx="922385" cy="2857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fld id="{CABC78EB-2B89-4CD5-B55B-6233EC316A56}" type="TxLink">
                <a:rPr lang="en-US" sz="1600" b="0" i="0" u="none" strike="noStrike">
                  <a:solidFill>
                    <a:srgbClr val="46AAC2"/>
                  </a:solidFill>
                  <a:latin typeface="Century Gothic" panose="020B0502020202020204" pitchFamily="34" charset="0"/>
                  <a:cs typeface="B Nazanin"/>
                </a:rPr>
                <a:pPr algn="ctr" rtl="1"/>
                <a:t>73.28</a:t>
              </a:fld>
              <a:endParaRPr lang="fa-IR" sz="1200" b="0">
                <a:solidFill>
                  <a:srgbClr val="46AAC2"/>
                </a:solidFill>
                <a:latin typeface="Century Gothic" panose="020B0502020202020204" pitchFamily="34" charset="0"/>
              </a:endParaRPr>
            </a:p>
          </xdr:txBody>
        </xdr:sp>
      </xdr:grpSp>
      <xdr:pic>
        <xdr:nvPicPr>
          <xdr:cNvPr id="85" name="Picture 84">
            <a:extLst>
              <a:ext uri="{FF2B5EF4-FFF2-40B4-BE49-F238E27FC236}">
                <a16:creationId xmlns:a16="http://schemas.microsoft.com/office/drawing/2014/main" id="{00000000-0008-0000-0300-00005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biLevel thresh="5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478042651" y="4211465"/>
            <a:ext cx="673980" cy="652580"/>
          </a:xfrm>
          <a:prstGeom prst="rect">
            <a:avLst/>
          </a:prstGeom>
        </xdr:spPr>
      </xdr:pic>
      <xdr:sp macro="" textlink="">
        <xdr:nvSpPr>
          <xdr:cNvPr id="86" name="TextBox 85">
            <a:extLst>
              <a:ext uri="{FF2B5EF4-FFF2-40B4-BE49-F238E27FC236}">
                <a16:creationId xmlns:a16="http://schemas.microsoft.com/office/drawing/2014/main" id="{00000000-0008-0000-0300-000056000000}"/>
              </a:ext>
            </a:extLst>
          </xdr:cNvPr>
          <xdr:cNvSpPr txBox="1"/>
        </xdr:nvSpPr>
        <xdr:spPr>
          <a:xfrm>
            <a:off x="12476877574" y="3927231"/>
            <a:ext cx="3055327" cy="3004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ctr"/>
          <a:lstStyle/>
          <a:p>
            <a:pPr algn="ctr" rtl="1"/>
            <a:r>
              <a:rPr lang="fa-IR" sz="1300" baseline="0">
                <a:solidFill>
                  <a:schemeClr val="bg1"/>
                </a:solidFill>
                <a:effectLst>
                  <a:outerShdw blurRad="50800" dist="38100" dir="8100000" algn="tr" rotWithShape="0">
                    <a:prstClr val="black">
                      <a:alpha val="40000"/>
                    </a:prstClr>
                  </a:outerShdw>
                </a:effectLst>
                <a:latin typeface="B titr"/>
                <a:cs typeface="B Titr" panose="00000700000000000000" pitchFamily="2" charset="-78"/>
              </a:rPr>
              <a:t>اضافـه کـاری</a:t>
            </a:r>
            <a:endParaRPr lang="fa-IR" sz="1300">
              <a:solidFill>
                <a:schemeClr val="bg1"/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B titr"/>
              <a:cs typeface="B Titr" panose="00000700000000000000" pitchFamily="2" charset="-78"/>
            </a:endParaRPr>
          </a:p>
        </xdr:txBody>
      </xdr:sp>
      <xdr:grpSp>
        <xdr:nvGrpSpPr>
          <xdr:cNvPr id="92" name="Group 91">
            <a:extLst>
              <a:ext uri="{FF2B5EF4-FFF2-40B4-BE49-F238E27FC236}">
                <a16:creationId xmlns:a16="http://schemas.microsoft.com/office/drawing/2014/main" id="{00000000-0008-0000-0300-00005C000000}"/>
              </a:ext>
            </a:extLst>
          </xdr:cNvPr>
          <xdr:cNvGrpSpPr/>
        </xdr:nvGrpSpPr>
        <xdr:grpSpPr>
          <a:xfrm>
            <a:off x="12473395821" y="6777403"/>
            <a:ext cx="4903174" cy="314012"/>
            <a:chOff x="12478442150" y="892510"/>
            <a:chExt cx="2482850" cy="326712"/>
          </a:xfrm>
        </xdr:grpSpPr>
        <xdr:grpSp>
          <xdr:nvGrpSpPr>
            <xdr:cNvPr id="93" name="Group 92">
              <a:extLst>
                <a:ext uri="{FF2B5EF4-FFF2-40B4-BE49-F238E27FC236}">
                  <a16:creationId xmlns:a16="http://schemas.microsoft.com/office/drawing/2014/main" id="{00000000-0008-0000-0300-00005D000000}"/>
                </a:ext>
              </a:extLst>
            </xdr:cNvPr>
            <xdr:cNvGrpSpPr/>
          </xdr:nvGrpSpPr>
          <xdr:grpSpPr>
            <a:xfrm>
              <a:off x="12478442150" y="964612"/>
              <a:ext cx="2482850" cy="254610"/>
              <a:chOff x="12482150550" y="965200"/>
              <a:chExt cx="2482850" cy="254000"/>
            </a:xfrm>
          </xdr:grpSpPr>
          <xdr:sp macro="" textlink="">
            <xdr:nvSpPr>
              <xdr:cNvPr id="95" name="Rectangle 94">
                <a:extLst>
                  <a:ext uri="{FF2B5EF4-FFF2-40B4-BE49-F238E27FC236}">
                    <a16:creationId xmlns:a16="http://schemas.microsoft.com/office/drawing/2014/main" id="{00000000-0008-0000-0300-00005F000000}"/>
                  </a:ext>
                </a:extLst>
              </xdr:cNvPr>
              <xdr:cNvSpPr/>
            </xdr:nvSpPr>
            <xdr:spPr>
              <a:xfrm>
                <a:off x="12482150550" y="965200"/>
                <a:ext cx="2482850" cy="196850"/>
              </a:xfrm>
              <a:prstGeom prst="rect">
                <a:avLst/>
              </a:prstGeom>
              <a:solidFill>
                <a:srgbClr val="3DA1B9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1" anchor="t"/>
              <a:lstStyle/>
              <a:p>
                <a:pPr algn="r" rtl="1"/>
                <a:endParaRPr lang="fa-IR" sz="1100">
                  <a:solidFill>
                    <a:srgbClr val="2D82AD"/>
                  </a:solidFill>
                </a:endParaRPr>
              </a:p>
            </xdr:txBody>
          </xdr:sp>
          <xdr:sp macro="" textlink="">
            <xdr:nvSpPr>
              <xdr:cNvPr id="96" name="Rectangle 95">
                <a:extLst>
                  <a:ext uri="{FF2B5EF4-FFF2-40B4-BE49-F238E27FC236}">
                    <a16:creationId xmlns:a16="http://schemas.microsoft.com/office/drawing/2014/main" id="{00000000-0008-0000-0300-000060000000}"/>
                  </a:ext>
                </a:extLst>
              </xdr:cNvPr>
              <xdr:cNvSpPr/>
            </xdr:nvSpPr>
            <xdr:spPr>
              <a:xfrm>
                <a:off x="12482150550" y="1162050"/>
                <a:ext cx="2482850" cy="57150"/>
              </a:xfrm>
              <a:prstGeom prst="rect">
                <a:avLst/>
              </a:prstGeom>
              <a:solidFill>
                <a:srgbClr val="FBB403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1" anchor="t"/>
              <a:lstStyle/>
              <a:p>
                <a:pPr algn="r" rtl="1"/>
                <a:endParaRPr lang="fa-IR" sz="1100"/>
              </a:p>
            </xdr:txBody>
          </xdr:sp>
        </xdr:grpSp>
        <xdr:sp macro="" textlink="">
          <xdr:nvSpPr>
            <xdr:cNvPr id="94" name="TextBox 93">
              <a:extLst>
                <a:ext uri="{FF2B5EF4-FFF2-40B4-BE49-F238E27FC236}">
                  <a16:creationId xmlns:a16="http://schemas.microsoft.com/office/drawing/2014/main" id="{00000000-0008-0000-0300-00005E000000}"/>
                </a:ext>
              </a:extLst>
            </xdr:cNvPr>
            <xdr:cNvSpPr txBox="1"/>
          </xdr:nvSpPr>
          <xdr:spPr>
            <a:xfrm>
              <a:off x="12478593082" y="892510"/>
              <a:ext cx="2154118" cy="31445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r>
                <a:rPr lang="fa-IR" sz="1050" baseline="0">
                  <a:solidFill>
                    <a:schemeClr val="bg1"/>
                  </a:solidFill>
                  <a:effectLst>
                    <a:outerShdw blurRad="50800" dist="38100" dir="8100000" algn="tr" rotWithShape="0">
                      <a:prstClr val="black">
                        <a:alpha val="40000"/>
                      </a:prstClr>
                    </a:outerShdw>
                  </a:effectLst>
                  <a:latin typeface="Tahoma" panose="020B0604030504040204" pitchFamily="34" charset="0"/>
                  <a:ea typeface="Tahoma" panose="020B0604030504040204" pitchFamily="34" charset="0"/>
                  <a:cs typeface="B Titr" panose="00000700000000000000" pitchFamily="2" charset="-78"/>
                </a:rPr>
                <a:t> بندرعباس</a:t>
              </a:r>
              <a:endParaRPr lang="fa-IR" sz="1050">
                <a:solidFill>
                  <a:schemeClr val="bg1"/>
                </a:solidFill>
                <a:effectLst>
                  <a:outerShdw blurRad="50800" dist="38100" dir="8100000" algn="tr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B Titr" panose="00000700000000000000" pitchFamily="2" charset="-78"/>
              </a:endParaRPr>
            </a:p>
          </xdr:txBody>
        </xdr:sp>
      </xdr:grpSp>
      <xdr:grpSp>
        <xdr:nvGrpSpPr>
          <xdr:cNvPr id="98" name="Group 97">
            <a:extLst>
              <a:ext uri="{FF2B5EF4-FFF2-40B4-BE49-F238E27FC236}">
                <a16:creationId xmlns:a16="http://schemas.microsoft.com/office/drawing/2014/main" id="{00000000-0008-0000-0300-000062000000}"/>
              </a:ext>
            </a:extLst>
          </xdr:cNvPr>
          <xdr:cNvGrpSpPr/>
        </xdr:nvGrpSpPr>
        <xdr:grpSpPr>
          <a:xfrm>
            <a:off x="12478460189" y="6777404"/>
            <a:ext cx="4674577" cy="314012"/>
            <a:chOff x="12478442150" y="892510"/>
            <a:chExt cx="2482850" cy="326712"/>
          </a:xfrm>
        </xdr:grpSpPr>
        <xdr:grpSp>
          <xdr:nvGrpSpPr>
            <xdr:cNvPr id="99" name="Group 98">
              <a:extLst>
                <a:ext uri="{FF2B5EF4-FFF2-40B4-BE49-F238E27FC236}">
                  <a16:creationId xmlns:a16="http://schemas.microsoft.com/office/drawing/2014/main" id="{00000000-0008-0000-0300-000063000000}"/>
                </a:ext>
              </a:extLst>
            </xdr:cNvPr>
            <xdr:cNvGrpSpPr/>
          </xdr:nvGrpSpPr>
          <xdr:grpSpPr>
            <a:xfrm>
              <a:off x="12478442150" y="964612"/>
              <a:ext cx="2482850" cy="254610"/>
              <a:chOff x="12482150550" y="965200"/>
              <a:chExt cx="2482850" cy="254000"/>
            </a:xfrm>
          </xdr:grpSpPr>
          <xdr:sp macro="" textlink="">
            <xdr:nvSpPr>
              <xdr:cNvPr id="101" name="Rectangle 100">
                <a:extLst>
                  <a:ext uri="{FF2B5EF4-FFF2-40B4-BE49-F238E27FC236}">
                    <a16:creationId xmlns:a16="http://schemas.microsoft.com/office/drawing/2014/main" id="{00000000-0008-0000-0300-000065000000}"/>
                  </a:ext>
                </a:extLst>
              </xdr:cNvPr>
              <xdr:cNvSpPr/>
            </xdr:nvSpPr>
            <xdr:spPr>
              <a:xfrm>
                <a:off x="12482150550" y="965200"/>
                <a:ext cx="2482850" cy="196850"/>
              </a:xfrm>
              <a:prstGeom prst="rect">
                <a:avLst/>
              </a:prstGeom>
              <a:solidFill>
                <a:srgbClr val="3DA1B9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1" anchor="t"/>
              <a:lstStyle/>
              <a:p>
                <a:pPr algn="r" rtl="1"/>
                <a:endParaRPr lang="fa-IR" sz="1100">
                  <a:solidFill>
                    <a:srgbClr val="2D82AD"/>
                  </a:solidFill>
                </a:endParaRPr>
              </a:p>
            </xdr:txBody>
          </xdr:sp>
          <xdr:sp macro="" textlink="">
            <xdr:nvSpPr>
              <xdr:cNvPr id="102" name="Rectangle 101">
                <a:extLst>
                  <a:ext uri="{FF2B5EF4-FFF2-40B4-BE49-F238E27FC236}">
                    <a16:creationId xmlns:a16="http://schemas.microsoft.com/office/drawing/2014/main" id="{00000000-0008-0000-0300-000066000000}"/>
                  </a:ext>
                </a:extLst>
              </xdr:cNvPr>
              <xdr:cNvSpPr/>
            </xdr:nvSpPr>
            <xdr:spPr>
              <a:xfrm>
                <a:off x="12482150550" y="1162050"/>
                <a:ext cx="2482850" cy="57150"/>
              </a:xfrm>
              <a:prstGeom prst="rect">
                <a:avLst/>
              </a:prstGeom>
              <a:solidFill>
                <a:srgbClr val="FBB403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1" anchor="t"/>
              <a:lstStyle/>
              <a:p>
                <a:pPr algn="r" rtl="1"/>
                <a:endParaRPr lang="fa-IR" sz="1100"/>
              </a:p>
            </xdr:txBody>
          </xdr:sp>
        </xdr:grpSp>
        <xdr:sp macro="" textlink="">
          <xdr:nvSpPr>
            <xdr:cNvPr id="100" name="TextBox 99">
              <a:extLst>
                <a:ext uri="{FF2B5EF4-FFF2-40B4-BE49-F238E27FC236}">
                  <a16:creationId xmlns:a16="http://schemas.microsoft.com/office/drawing/2014/main" id="{00000000-0008-0000-0300-000064000000}"/>
                </a:ext>
              </a:extLst>
            </xdr:cNvPr>
            <xdr:cNvSpPr txBox="1"/>
          </xdr:nvSpPr>
          <xdr:spPr>
            <a:xfrm>
              <a:off x="12478593082" y="892510"/>
              <a:ext cx="2154118" cy="31445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r>
                <a:rPr lang="fa-IR" sz="1050" baseline="0">
                  <a:solidFill>
                    <a:schemeClr val="bg1"/>
                  </a:solidFill>
                  <a:effectLst>
                    <a:outerShdw blurRad="50800" dist="38100" dir="8100000" algn="tr" rotWithShape="0">
                      <a:prstClr val="black">
                        <a:alpha val="40000"/>
                      </a:prstClr>
                    </a:outerShdw>
                  </a:effectLst>
                  <a:latin typeface="Tahoma" panose="020B0604030504040204" pitchFamily="34" charset="0"/>
                  <a:ea typeface="Tahoma" panose="020B0604030504040204" pitchFamily="34" charset="0"/>
                  <a:cs typeface="B Titr" panose="00000700000000000000" pitchFamily="2" charset="-78"/>
                </a:rPr>
                <a:t>دفتر مرکزی</a:t>
              </a:r>
              <a:endParaRPr lang="fa-IR" sz="1050">
                <a:solidFill>
                  <a:schemeClr val="bg1"/>
                </a:solidFill>
                <a:effectLst>
                  <a:outerShdw blurRad="50800" dist="38100" dir="8100000" algn="tr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B Titr" panose="00000700000000000000" pitchFamily="2" charset="-78"/>
              </a:endParaRPr>
            </a:p>
          </xdr:txBody>
        </xdr:sp>
      </xdr:grpSp>
      <xdr:cxnSp macro="">
        <xdr:nvCxnSpPr>
          <xdr:cNvPr id="56" name="Straight Connector 55">
            <a:extLst>
              <a:ext uri="{FF2B5EF4-FFF2-40B4-BE49-F238E27FC236}">
                <a16:creationId xmlns:a16="http://schemas.microsoft.com/office/drawing/2014/main" id="{00000000-0008-0000-0300-000038000000}"/>
              </a:ext>
            </a:extLst>
          </xdr:cNvPr>
          <xdr:cNvCxnSpPr/>
        </xdr:nvCxnSpPr>
        <xdr:spPr>
          <a:xfrm>
            <a:off x="12478364939" y="4870636"/>
            <a:ext cx="0" cy="2139461"/>
          </a:xfrm>
          <a:prstGeom prst="line">
            <a:avLst/>
          </a:prstGeom>
          <a:ln w="12700" cap="flat" cmpd="sng" algn="ctr">
            <a:solidFill>
              <a:srgbClr val="FFC000"/>
            </a:solidFill>
            <a:prstDash val="dash"/>
            <a:round/>
            <a:headEnd type="none" w="med" len="med"/>
            <a:tailEnd type="none" w="med" len="med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</xdr:cxnSp>
      <xdr:grpSp>
        <xdr:nvGrpSpPr>
          <xdr:cNvPr id="51" name="Group 50">
            <a:extLst>
              <a:ext uri="{FF2B5EF4-FFF2-40B4-BE49-F238E27FC236}">
                <a16:creationId xmlns:a16="http://schemas.microsoft.com/office/drawing/2014/main" id="{00000000-0008-0000-0300-000033000000}"/>
              </a:ext>
            </a:extLst>
          </xdr:cNvPr>
          <xdr:cNvGrpSpPr/>
        </xdr:nvGrpSpPr>
        <xdr:grpSpPr>
          <a:xfrm>
            <a:off x="12473393224" y="4423478"/>
            <a:ext cx="1455820" cy="565743"/>
            <a:chOff x="12473393224" y="4423478"/>
            <a:chExt cx="1455820" cy="565743"/>
          </a:xfrm>
        </xdr:grpSpPr>
        <mc:AlternateContent xmlns:mc="http://schemas.openxmlformats.org/markup-compatibility/2006" xmlns:a14="http://schemas.microsoft.com/office/drawing/2010/main">
          <mc:Choice Requires="a14">
            <xdr:sp macro="" textlink="">
              <xdr:nvSpPr>
                <xdr:cNvPr id="80" name="TextBox 79">
                  <a:extLst>
                    <a:ext uri="{FF2B5EF4-FFF2-40B4-BE49-F238E27FC236}">
                      <a16:creationId xmlns:a16="http://schemas.microsoft.com/office/drawing/2014/main" id="{00000000-0008-0000-0300-000050000000}"/>
                    </a:ext>
                  </a:extLst>
                </xdr:cNvPr>
                <xdr:cNvSpPr txBox="1"/>
              </xdr:nvSpPr>
              <xdr:spPr>
                <a:xfrm flipH="1">
                  <a:off x="12473725007" y="4579301"/>
                  <a:ext cx="319068" cy="409920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lIns="0" tIns="0" rIns="0" bIns="0" rtlCol="1" anchor="t">
                  <a:spAutoFit/>
                </a:bodyPr>
                <a:lstStyle/>
                <a:p>
                  <a:pPr algn="r" rtl="1"/>
                  <a14:m>
                    <m:oMathPara xmlns:m="http://schemas.openxmlformats.org/officeDocument/2006/math">
                      <m:oMathParaPr>
                        <m:jc m:val="centerGroup"/>
                      </m:oMathParaPr>
                      <m:oMath xmlns:m="http://schemas.openxmlformats.org/officeDocument/2006/math"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fa-IR" sz="1100" i="1">
                                <a:solidFill>
                                  <a:srgbClr val="3DA1B9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/>
                        </m:nary>
                      </m:oMath>
                    </m:oMathPara>
                  </a14:m>
                  <a:endParaRPr lang="fa-IR" sz="1100">
                    <a:solidFill>
                      <a:srgbClr val="3DA1B9"/>
                    </a:solidFill>
                  </a:endParaRPr>
                </a:p>
              </xdr:txBody>
            </xdr:sp>
          </mc:Choice>
          <mc:Fallback xmlns="">
            <xdr:sp macro="" textlink="">
              <xdr:nvSpPr>
                <xdr:cNvPr id="80" name="TextBox 79">
                  <a:extLst>
                    <a:ext uri="{FF2B5EF4-FFF2-40B4-BE49-F238E27FC236}">
                      <a16:creationId xmlns:a16="http://schemas.microsoft.com/office/drawing/2014/main" id="{00000000-0008-0000-0300-000050000000}"/>
                    </a:ext>
                  </a:extLst>
                </xdr:cNvPr>
                <xdr:cNvSpPr txBox="1"/>
              </xdr:nvSpPr>
              <xdr:spPr>
                <a:xfrm flipH="1">
                  <a:off x="12473725007" y="4579301"/>
                  <a:ext cx="319068" cy="409920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lIns="0" tIns="0" rIns="0" bIns="0" rtlCol="1" anchor="t">
                  <a:spAutoFit/>
                </a:bodyPr>
                <a:lstStyle/>
                <a:p>
                  <a:pPr algn="r" rtl="1"/>
                  <a:r>
                    <a:rPr lang="fa-IR" sz="1100" i="0">
                      <a:solidFill>
                        <a:srgbClr val="3DA1B9"/>
                      </a:solidFill>
                      <a:latin typeface="Cambria Math" panose="02040503050406030204" pitchFamily="18" charset="0"/>
                    </a:rPr>
                    <a:t>∑</a:t>
                  </a:r>
                  <a:endParaRPr lang="fa-IR" sz="1100">
                    <a:solidFill>
                      <a:srgbClr val="3DA1B9"/>
                    </a:solidFill>
                  </a:endParaRPr>
                </a:p>
              </xdr:txBody>
            </xdr:sp>
          </mc:Fallback>
        </mc:AlternateContent>
        <xdr:sp macro="" textlink="calc!F87">
          <xdr:nvSpPr>
            <xdr:cNvPr id="103" name="TextBox 102">
              <a:extLst>
                <a:ext uri="{FF2B5EF4-FFF2-40B4-BE49-F238E27FC236}">
                  <a16:creationId xmlns:a16="http://schemas.microsoft.com/office/drawing/2014/main" id="{00000000-0008-0000-0300-000067000000}"/>
                </a:ext>
              </a:extLst>
            </xdr:cNvPr>
            <xdr:cNvSpPr txBox="1"/>
          </xdr:nvSpPr>
          <xdr:spPr>
            <a:xfrm>
              <a:off x="12473871966" y="4599792"/>
              <a:ext cx="977078" cy="31505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fld id="{77EC8847-C242-45BC-9AEB-1F4FE4D9F10F}" type="TxLink">
                <a:rPr lang="en-US" sz="1400" b="1" i="0" u="none" strike="noStrike">
                  <a:solidFill>
                    <a:srgbClr val="46AAC2"/>
                  </a:solidFill>
                  <a:latin typeface="Agency FB" panose="020B0503020202020204" pitchFamily="34" charset="0"/>
                  <a:cs typeface="B Nazanin"/>
                </a:rPr>
                <a:pPr algn="ctr" rtl="1"/>
                <a:t>251,966,127</a:t>
              </a:fld>
              <a:endParaRPr lang="fa-IR" sz="1100" b="1">
                <a:solidFill>
                  <a:srgbClr val="46AAC2"/>
                </a:solidFill>
                <a:latin typeface="Agency FB" panose="020B0503020202020204" pitchFamily="34" charset="0"/>
              </a:endParaRPr>
            </a:p>
          </xdr:txBody>
        </xdr:sp>
        <xdr:sp macro="" textlink="">
          <xdr:nvSpPr>
            <xdr:cNvPr id="106" name="TextBox 105">
              <a:extLst>
                <a:ext uri="{FF2B5EF4-FFF2-40B4-BE49-F238E27FC236}">
                  <a16:creationId xmlns:a16="http://schemas.microsoft.com/office/drawing/2014/main" id="{00000000-0008-0000-0300-00006A000000}"/>
                </a:ext>
              </a:extLst>
            </xdr:cNvPr>
            <xdr:cNvSpPr txBox="1"/>
          </xdr:nvSpPr>
          <xdr:spPr>
            <a:xfrm>
              <a:off x="12473393224" y="4423478"/>
              <a:ext cx="380512" cy="53356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r>
                <a:rPr lang="fa-IR" sz="3600">
                  <a:solidFill>
                    <a:srgbClr val="019BA7"/>
                  </a:solidFill>
                  <a:effectLst>
                    <a:outerShdw blurRad="50800" dist="38100" dir="8100000" algn="tr" rotWithShape="0">
                      <a:prstClr val="black">
                        <a:alpha val="40000"/>
                      </a:prstClr>
                    </a:outerShdw>
                  </a:effectLst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  <a:sym typeface="Webdings" panose="05030102010509060703" pitchFamily="18" charset="2"/>
                </a:rPr>
                <a:t></a:t>
              </a:r>
              <a:endParaRPr lang="fa-IR" sz="3600">
                <a:solidFill>
                  <a:srgbClr val="019BA7"/>
                </a:solidFill>
                <a:effectLst>
                  <a:outerShdw blurRad="50800" dist="38100" dir="8100000" algn="tr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xdr:grpSp>
      <xdr:grpSp>
        <xdr:nvGrpSpPr>
          <xdr:cNvPr id="68" name="Group 67">
            <a:extLst>
              <a:ext uri="{FF2B5EF4-FFF2-40B4-BE49-F238E27FC236}">
                <a16:creationId xmlns:a16="http://schemas.microsoft.com/office/drawing/2014/main" id="{00000000-0008-0000-0300-000044000000}"/>
              </a:ext>
            </a:extLst>
          </xdr:cNvPr>
          <xdr:cNvGrpSpPr/>
        </xdr:nvGrpSpPr>
        <xdr:grpSpPr>
          <a:xfrm>
            <a:off x="12481738640" y="4437336"/>
            <a:ext cx="1303908" cy="551885"/>
            <a:chOff x="12481738640" y="4437336"/>
            <a:chExt cx="1303908" cy="551885"/>
          </a:xfrm>
        </xdr:grpSpPr>
        <mc:AlternateContent xmlns:mc="http://schemas.openxmlformats.org/markup-compatibility/2006" xmlns:a14="http://schemas.microsoft.com/office/drawing/2010/main">
          <mc:Choice Requires="a14">
            <xdr:sp macro="" textlink="">
              <xdr:nvSpPr>
                <xdr:cNvPr id="107" name="TextBox 106">
                  <a:extLst>
                    <a:ext uri="{FF2B5EF4-FFF2-40B4-BE49-F238E27FC236}">
                      <a16:creationId xmlns:a16="http://schemas.microsoft.com/office/drawing/2014/main" id="{00000000-0008-0000-0300-00006B000000}"/>
                    </a:ext>
                  </a:extLst>
                </xdr:cNvPr>
                <xdr:cNvSpPr txBox="1"/>
              </xdr:nvSpPr>
              <xdr:spPr>
                <a:xfrm flipH="1">
                  <a:off x="12481738640" y="4579301"/>
                  <a:ext cx="319068" cy="409920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lIns="0" tIns="0" rIns="0" bIns="0" rtlCol="1" anchor="t">
                  <a:spAutoFit/>
                </a:bodyPr>
                <a:lstStyle/>
                <a:p>
                  <a:pPr algn="r" rtl="1"/>
                  <a14:m>
                    <m:oMathPara xmlns:m="http://schemas.openxmlformats.org/officeDocument/2006/math">
                      <m:oMathParaPr>
                        <m:jc m:val="centerGroup"/>
                      </m:oMathParaPr>
                      <m:oMath xmlns:m="http://schemas.openxmlformats.org/officeDocument/2006/math"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fa-IR" sz="1100" i="1">
                                <a:solidFill>
                                  <a:srgbClr val="3DA1B9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/>
                        </m:nary>
                      </m:oMath>
                    </m:oMathPara>
                  </a14:m>
                  <a:endParaRPr lang="fa-IR" sz="1100">
                    <a:solidFill>
                      <a:srgbClr val="3DA1B9"/>
                    </a:solidFill>
                  </a:endParaRPr>
                </a:p>
              </xdr:txBody>
            </xdr:sp>
          </mc:Choice>
          <mc:Fallback xmlns="">
            <xdr:sp macro="" textlink="">
              <xdr:nvSpPr>
                <xdr:cNvPr id="107" name="TextBox 106">
                  <a:extLst>
                    <a:ext uri="{FF2B5EF4-FFF2-40B4-BE49-F238E27FC236}">
                      <a16:creationId xmlns:a16="http://schemas.microsoft.com/office/drawing/2014/main" id="{00000000-0008-0000-0300-00006B000000}"/>
                    </a:ext>
                  </a:extLst>
                </xdr:cNvPr>
                <xdr:cNvSpPr txBox="1"/>
              </xdr:nvSpPr>
              <xdr:spPr>
                <a:xfrm flipH="1">
                  <a:off x="12481738640" y="4579301"/>
                  <a:ext cx="319068" cy="409920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lIns="0" tIns="0" rIns="0" bIns="0" rtlCol="1" anchor="t">
                  <a:spAutoFit/>
                </a:bodyPr>
                <a:lstStyle/>
                <a:p>
                  <a:pPr algn="r" rtl="1"/>
                  <a:r>
                    <a:rPr lang="fa-IR" sz="1100" i="0">
                      <a:solidFill>
                        <a:srgbClr val="3DA1B9"/>
                      </a:solidFill>
                      <a:latin typeface="Cambria Math" panose="02040503050406030204" pitchFamily="18" charset="0"/>
                    </a:rPr>
                    <a:t>∑</a:t>
                  </a:r>
                  <a:endParaRPr lang="fa-IR" sz="1100">
                    <a:solidFill>
                      <a:srgbClr val="3DA1B9"/>
                    </a:solidFill>
                  </a:endParaRPr>
                </a:p>
              </xdr:txBody>
            </xdr:sp>
          </mc:Fallback>
        </mc:AlternateContent>
        <xdr:sp macro="" textlink="calc!F88">
          <xdr:nvSpPr>
            <xdr:cNvPr id="108" name="TextBox 107">
              <a:extLst>
                <a:ext uri="{FF2B5EF4-FFF2-40B4-BE49-F238E27FC236}">
                  <a16:creationId xmlns:a16="http://schemas.microsoft.com/office/drawing/2014/main" id="{00000000-0008-0000-0300-00006C000000}"/>
                </a:ext>
              </a:extLst>
            </xdr:cNvPr>
            <xdr:cNvSpPr txBox="1"/>
          </xdr:nvSpPr>
          <xdr:spPr>
            <a:xfrm>
              <a:off x="12481838947" y="4593223"/>
              <a:ext cx="971974" cy="31505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fld id="{3032ED95-3772-46B3-9E9E-507D8393AF07}" type="TxLink">
                <a:rPr lang="en-US" sz="1400" b="1" i="0" u="none" strike="noStrike">
                  <a:solidFill>
                    <a:srgbClr val="46AAC2"/>
                  </a:solidFill>
                  <a:latin typeface="Agency FB" panose="020B0503020202020204" pitchFamily="34" charset="0"/>
                  <a:cs typeface="B Nazanin"/>
                </a:rPr>
                <a:pPr algn="ctr" rtl="1"/>
                <a:t>37,977,587</a:t>
              </a:fld>
              <a:endParaRPr lang="fa-IR" sz="1100" b="1">
                <a:solidFill>
                  <a:srgbClr val="46AAC2"/>
                </a:solidFill>
                <a:latin typeface="Agency FB" panose="020B0503020202020204" pitchFamily="34" charset="0"/>
              </a:endParaRPr>
            </a:p>
          </xdr:txBody>
        </xdr:sp>
        <xdr:sp macro="" textlink="">
          <xdr:nvSpPr>
            <xdr:cNvPr id="109" name="TextBox 108">
              <a:extLst>
                <a:ext uri="{FF2B5EF4-FFF2-40B4-BE49-F238E27FC236}">
                  <a16:creationId xmlns:a16="http://schemas.microsoft.com/office/drawing/2014/main" id="{00000000-0008-0000-0300-00006D000000}"/>
                </a:ext>
              </a:extLst>
            </xdr:cNvPr>
            <xdr:cNvSpPr txBox="1"/>
          </xdr:nvSpPr>
          <xdr:spPr>
            <a:xfrm>
              <a:off x="12482662036" y="4437336"/>
              <a:ext cx="380512" cy="46715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r>
                <a:rPr lang="fa-IR" sz="3600">
                  <a:solidFill>
                    <a:srgbClr val="019BA7"/>
                  </a:solidFill>
                  <a:effectLst>
                    <a:outerShdw blurRad="50800" dist="38100" dir="8100000" algn="tr" rotWithShape="0">
                      <a:prstClr val="black">
                        <a:alpha val="40000"/>
                      </a:prstClr>
                    </a:outerShdw>
                  </a:effectLst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  <a:sym typeface="Webdings" panose="05030102010509060703" pitchFamily="18" charset="2"/>
                </a:rPr>
                <a:t></a:t>
              </a:r>
              <a:endParaRPr lang="fa-IR" sz="3600">
                <a:solidFill>
                  <a:srgbClr val="019BA7"/>
                </a:solidFill>
                <a:effectLst>
                  <a:outerShdw blurRad="50800" dist="38100" dir="8100000" algn="tr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xdr:grpSp>
      <xdr:graphicFrame macro="">
        <xdr:nvGraphicFramePr>
          <xdr:cNvPr id="126" name="Chart 125">
            <a:extLst>
              <a:ext uri="{FF2B5EF4-FFF2-40B4-BE49-F238E27FC236}">
                <a16:creationId xmlns:a16="http://schemas.microsoft.com/office/drawing/2014/main" id="{00000000-0008-0000-0300-00007E000000}"/>
              </a:ext>
            </a:extLst>
          </xdr:cNvPr>
          <xdr:cNvGraphicFramePr>
            <a:graphicFrameLocks/>
          </xdr:cNvGraphicFramePr>
        </xdr:nvGraphicFramePr>
        <xdr:xfrm>
          <a:off x="12473286642" y="4804775"/>
          <a:ext cx="5043862" cy="200161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graphicFrame macro="">
        <xdr:nvGraphicFramePr>
          <xdr:cNvPr id="128" name="Chart 127">
            <a:extLst>
              <a:ext uri="{FF2B5EF4-FFF2-40B4-BE49-F238E27FC236}">
                <a16:creationId xmlns:a16="http://schemas.microsoft.com/office/drawing/2014/main" id="{00000000-0008-0000-0300-000080000000}"/>
              </a:ext>
            </a:extLst>
          </xdr:cNvPr>
          <xdr:cNvGraphicFramePr>
            <a:graphicFrameLocks/>
          </xdr:cNvGraphicFramePr>
        </xdr:nvGraphicFramePr>
        <xdr:xfrm>
          <a:off x="12478398287" y="4900024"/>
          <a:ext cx="4736130" cy="191965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0"/>
          </a:graphicData>
        </a:graphic>
      </xdr:graphicFrame>
      <xdr:cxnSp macro="">
        <xdr:nvCxnSpPr>
          <xdr:cNvPr id="248" name="Straight Connector 247">
            <a:extLst>
              <a:ext uri="{FF2B5EF4-FFF2-40B4-BE49-F238E27FC236}">
                <a16:creationId xmlns:a16="http://schemas.microsoft.com/office/drawing/2014/main" id="{00000000-0008-0000-0300-0000F8000000}"/>
              </a:ext>
            </a:extLst>
          </xdr:cNvPr>
          <xdr:cNvCxnSpPr/>
        </xdr:nvCxnSpPr>
        <xdr:spPr>
          <a:xfrm>
            <a:off x="12478364939" y="1594036"/>
            <a:ext cx="0" cy="2139461"/>
          </a:xfrm>
          <a:prstGeom prst="line">
            <a:avLst/>
          </a:prstGeom>
          <a:ln w="12700" cap="flat" cmpd="sng" algn="ctr">
            <a:solidFill>
              <a:srgbClr val="FFC000"/>
            </a:solidFill>
            <a:prstDash val="dash"/>
            <a:round/>
            <a:headEnd type="none" w="med" len="med"/>
            <a:tailEnd type="none" w="med" len="med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22</xdr:col>
      <xdr:colOff>0</xdr:colOff>
      <xdr:row>40</xdr:row>
      <xdr:rowOff>0</xdr:rowOff>
    </xdr:from>
    <xdr:to>
      <xdr:col>22</xdr:col>
      <xdr:colOff>304800</xdr:colOff>
      <xdr:row>41</xdr:row>
      <xdr:rowOff>19050</xdr:rowOff>
    </xdr:to>
    <xdr:sp macro="" textlink="">
      <xdr:nvSpPr>
        <xdr:cNvPr id="2060" name="AutoShape 12" descr="Cost icon PNG and SVG Vector Free Download">
          <a:extLst>
            <a:ext uri="{FF2B5EF4-FFF2-40B4-BE49-F238E27FC236}">
              <a16:creationId xmlns:a16="http://schemas.microsoft.com/office/drawing/2014/main" id="{00000000-0008-0000-0300-00000C080000}"/>
            </a:ext>
          </a:extLst>
        </xdr:cNvPr>
        <xdr:cNvSpPr>
          <a:spLocks noChangeAspect="1" noChangeArrowheads="1"/>
        </xdr:cNvSpPr>
      </xdr:nvSpPr>
      <xdr:spPr bwMode="auto">
        <a:xfrm>
          <a:off x="12468301200" y="1143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304800</xdr:colOff>
      <xdr:row>14</xdr:row>
      <xdr:rowOff>19050</xdr:rowOff>
    </xdr:to>
    <xdr:sp macro="" textlink="">
      <xdr:nvSpPr>
        <xdr:cNvPr id="2062" name="AutoShape 14" descr="Salary - Free business and finance icons">
          <a:extLst>
            <a:ext uri="{FF2B5EF4-FFF2-40B4-BE49-F238E27FC236}">
              <a16:creationId xmlns:a16="http://schemas.microsoft.com/office/drawing/2014/main" id="{00000000-0008-0000-0300-00000E080000}"/>
            </a:ext>
          </a:extLst>
        </xdr:cNvPr>
        <xdr:cNvSpPr>
          <a:spLocks noChangeAspect="1" noChangeArrowheads="1"/>
        </xdr:cNvSpPr>
      </xdr:nvSpPr>
      <xdr:spPr bwMode="auto">
        <a:xfrm>
          <a:off x="12471349200" y="371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16565</xdr:colOff>
      <xdr:row>49</xdr:row>
      <xdr:rowOff>65433</xdr:rowOff>
    </xdr:from>
    <xdr:to>
      <xdr:col>11</xdr:col>
      <xdr:colOff>668130</xdr:colOff>
      <xdr:row>50</xdr:row>
      <xdr:rowOff>104775</xdr:rowOff>
    </xdr:to>
    <xdr:sp macro="" textlink="">
      <xdr:nvSpPr>
        <xdr:cNvPr id="188" name="Rectangle: Rounded Corners 187">
          <a:extLst>
            <a:ext uri="{FF2B5EF4-FFF2-40B4-BE49-F238E27FC236}">
              <a16:creationId xmlns:a16="http://schemas.microsoft.com/office/drawing/2014/main" id="{00000000-0008-0000-0300-0000BC000000}"/>
            </a:ext>
          </a:extLst>
        </xdr:cNvPr>
        <xdr:cNvSpPr/>
      </xdr:nvSpPr>
      <xdr:spPr>
        <a:xfrm>
          <a:off x="12475557870" y="14067183"/>
          <a:ext cx="6747565" cy="325092"/>
        </a:xfrm>
        <a:prstGeom prst="roundRect">
          <a:avLst/>
        </a:prstGeom>
        <a:solidFill>
          <a:schemeClr val="tx1">
            <a:lumMod val="50000"/>
            <a:lumOff val="50000"/>
          </a:schemeClr>
        </a:solidFill>
        <a:ln w="6350">
          <a:solidFill>
            <a:srgbClr val="019BA7"/>
          </a:solidFill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fa-IR" sz="1100"/>
        </a:p>
      </xdr:txBody>
    </xdr:sp>
    <xdr:clientData/>
  </xdr:twoCellAnchor>
  <xdr:twoCellAnchor>
    <xdr:from>
      <xdr:col>5</xdr:col>
      <xdr:colOff>687457</xdr:colOff>
      <xdr:row>49</xdr:row>
      <xdr:rowOff>45968</xdr:rowOff>
    </xdr:from>
    <xdr:to>
      <xdr:col>9</xdr:col>
      <xdr:colOff>151676</xdr:colOff>
      <xdr:row>50</xdr:row>
      <xdr:rowOff>65969</xdr:rowOff>
    </xdr:to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00000000-0008-0000-0300-0000BD000000}"/>
            </a:ext>
          </a:extLst>
        </xdr:cNvPr>
        <xdr:cNvSpPr txBox="1"/>
      </xdr:nvSpPr>
      <xdr:spPr>
        <a:xfrm>
          <a:off x="12477598324" y="14047718"/>
          <a:ext cx="2512219" cy="305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fa-IR" sz="1050" baseline="0">
              <a:solidFill>
                <a:schemeClr val="bg1"/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B Titr" panose="00000700000000000000" pitchFamily="2" charset="-78"/>
            </a:rPr>
            <a:t>تهیه شده در واحد مالی و حسابداری</a:t>
          </a:r>
          <a:endParaRPr lang="fa-IR" sz="1050">
            <a:solidFill>
              <a:schemeClr val="bg1"/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latin typeface="Tahoma" panose="020B0604030504040204" pitchFamily="34" charset="0"/>
            <a:ea typeface="Tahoma" panose="020B0604030504040204" pitchFamily="34" charset="0"/>
            <a:cs typeface="B Titr" panose="00000700000000000000" pitchFamily="2" charset="-78"/>
          </a:endParaRPr>
        </a:p>
      </xdr:txBody>
    </xdr:sp>
    <xdr:clientData/>
  </xdr:twoCellAnchor>
  <xdr:twoCellAnchor>
    <xdr:from>
      <xdr:col>5</xdr:col>
      <xdr:colOff>520943</xdr:colOff>
      <xdr:row>0</xdr:row>
      <xdr:rowOff>56416</xdr:rowOff>
    </xdr:from>
    <xdr:to>
      <xdr:col>7</xdr:col>
      <xdr:colOff>76200</xdr:colOff>
      <xdr:row>2</xdr:row>
      <xdr:rowOff>10989</xdr:rowOff>
    </xdr:to>
    <xdr:sp macro="" textlink="listbox!D3">
      <xdr:nvSpPr>
        <xdr:cNvPr id="207" name="TextBox 206">
          <a:extLst>
            <a:ext uri="{FF2B5EF4-FFF2-40B4-BE49-F238E27FC236}">
              <a16:creationId xmlns:a16="http://schemas.microsoft.com/office/drawing/2014/main" id="{00000000-0008-0000-0300-0000CF000000}"/>
            </a:ext>
          </a:extLst>
        </xdr:cNvPr>
        <xdr:cNvSpPr txBox="1"/>
      </xdr:nvSpPr>
      <xdr:spPr>
        <a:xfrm>
          <a:off x="12479197800" y="56416"/>
          <a:ext cx="1079257" cy="5260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fld id="{C74B7996-63D9-4E65-B1B0-DDA747BBC14A}" type="TxLink">
            <a:rPr lang="fa-IR" sz="2000" b="0" i="0" u="none" strike="noStrike">
              <a:solidFill>
                <a:schemeClr val="bg1"/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B titr"/>
              <a:cs typeface="B Titr" panose="00000700000000000000" pitchFamily="2" charset="-78"/>
            </a:rPr>
            <a:pPr algn="ctr" rtl="1"/>
            <a:t>فروردین</a:t>
          </a:fld>
          <a:endParaRPr lang="fa-IR" sz="2000">
            <a:solidFill>
              <a:schemeClr val="bg1"/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latin typeface="B titr"/>
            <a:cs typeface="B Titr" panose="00000700000000000000" pitchFamily="2" charset="-78"/>
          </a:endParaRPr>
        </a:p>
      </xdr:txBody>
    </xdr:sp>
    <xdr:clientData/>
  </xdr:twoCellAnchor>
  <xdr:twoCellAnchor>
    <xdr:from>
      <xdr:col>7</xdr:col>
      <xdr:colOff>416169</xdr:colOff>
      <xdr:row>0</xdr:row>
      <xdr:rowOff>46891</xdr:rowOff>
    </xdr:from>
    <xdr:to>
      <xdr:col>8</xdr:col>
      <xdr:colOff>390525</xdr:colOff>
      <xdr:row>2</xdr:row>
      <xdr:rowOff>1464</xdr:rowOff>
    </xdr:to>
    <xdr:sp macro="" textlink="listbox!B3">
      <xdr:nvSpPr>
        <xdr:cNvPr id="208" name="TextBox 207">
          <a:extLst>
            <a:ext uri="{FF2B5EF4-FFF2-40B4-BE49-F238E27FC236}">
              <a16:creationId xmlns:a16="http://schemas.microsoft.com/office/drawing/2014/main" id="{00000000-0008-0000-0300-0000D0000000}"/>
            </a:ext>
          </a:extLst>
        </xdr:cNvPr>
        <xdr:cNvSpPr txBox="1"/>
      </xdr:nvSpPr>
      <xdr:spPr>
        <a:xfrm>
          <a:off x="12478121475" y="46891"/>
          <a:ext cx="736356" cy="5260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fld id="{BC5DBDB6-5295-4DF4-AB68-7F4CE53DC606}" type="TxLink">
            <a:rPr lang="en-US" sz="2000" b="0" i="0" u="none" strike="noStrike">
              <a:solidFill>
                <a:schemeClr val="bg1"/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B titr"/>
              <a:cs typeface="B Nazanin"/>
            </a:rPr>
            <a:pPr algn="ctr" rtl="1"/>
            <a:t>1401</a:t>
          </a:fld>
          <a:endParaRPr lang="fa-IR" sz="2000">
            <a:solidFill>
              <a:schemeClr val="bg1"/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latin typeface="B titr"/>
            <a:cs typeface="B Titr" panose="00000700000000000000" pitchFamily="2" charset="-78"/>
          </a:endParaRPr>
        </a:p>
      </xdr:txBody>
    </xdr:sp>
    <xdr:clientData/>
  </xdr:twoCellAnchor>
  <xdr:twoCellAnchor>
    <xdr:from>
      <xdr:col>7</xdr:col>
      <xdr:colOff>16120</xdr:colOff>
      <xdr:row>0</xdr:row>
      <xdr:rowOff>56416</xdr:rowOff>
    </xdr:from>
    <xdr:to>
      <xdr:col>7</xdr:col>
      <xdr:colOff>495301</xdr:colOff>
      <xdr:row>2</xdr:row>
      <xdr:rowOff>10989</xdr:rowOff>
    </xdr:to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id="{00000000-0008-0000-0300-0000D1000000}"/>
            </a:ext>
          </a:extLst>
        </xdr:cNvPr>
        <xdr:cNvSpPr txBox="1"/>
      </xdr:nvSpPr>
      <xdr:spPr>
        <a:xfrm>
          <a:off x="12478778699" y="56416"/>
          <a:ext cx="479181" cy="5260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fa-IR" sz="2000" b="0" i="0" u="none" strike="noStrike">
              <a:solidFill>
                <a:schemeClr val="bg1"/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cs typeface="B Titr" panose="00000700000000000000" pitchFamily="2" charset="-78"/>
            </a:rPr>
            <a:t>ماه</a:t>
          </a:r>
        </a:p>
      </xdr:txBody>
    </xdr:sp>
    <xdr:clientData/>
  </xdr:twoCellAnchor>
  <xdr:twoCellAnchor>
    <xdr:from>
      <xdr:col>1</xdr:col>
      <xdr:colOff>7357</xdr:colOff>
      <xdr:row>50</xdr:row>
      <xdr:rowOff>119716</xdr:rowOff>
    </xdr:from>
    <xdr:to>
      <xdr:col>13</xdr:col>
      <xdr:colOff>747376</xdr:colOff>
      <xdr:row>61</xdr:row>
      <xdr:rowOff>267309</xdr:rowOff>
    </xdr:to>
    <xdr:grpSp>
      <xdr:nvGrpSpPr>
        <xdr:cNvPr id="117" name="Group 116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GrpSpPr/>
      </xdr:nvGrpSpPr>
      <xdr:grpSpPr>
        <a:xfrm>
          <a:off x="12473294678" y="14407216"/>
          <a:ext cx="9884019" cy="3290843"/>
          <a:chOff x="12473294678" y="18112441"/>
          <a:chExt cx="9884019" cy="3290843"/>
        </a:xfrm>
      </xdr:grpSpPr>
      <xdr:grpSp>
        <xdr:nvGrpSpPr>
          <xdr:cNvPr id="214" name="Group 213">
            <a:extLst>
              <a:ext uri="{FF2B5EF4-FFF2-40B4-BE49-F238E27FC236}">
                <a16:creationId xmlns:a16="http://schemas.microsoft.com/office/drawing/2014/main" id="{00000000-0008-0000-0300-0000D6000000}"/>
              </a:ext>
            </a:extLst>
          </xdr:cNvPr>
          <xdr:cNvGrpSpPr/>
        </xdr:nvGrpSpPr>
        <xdr:grpSpPr>
          <a:xfrm>
            <a:off x="12473294678" y="18171247"/>
            <a:ext cx="9884019" cy="3232037"/>
            <a:chOff x="12477797625" y="946497"/>
            <a:chExt cx="6766246" cy="4468170"/>
          </a:xfrm>
        </xdr:grpSpPr>
        <xdr:sp macro="" textlink="">
          <xdr:nvSpPr>
            <xdr:cNvPr id="215" name="Isosceles Triangle 214">
              <a:extLst>
                <a:ext uri="{FF2B5EF4-FFF2-40B4-BE49-F238E27FC236}">
                  <a16:creationId xmlns:a16="http://schemas.microsoft.com/office/drawing/2014/main" id="{00000000-0008-0000-0300-0000D7000000}"/>
                </a:ext>
              </a:extLst>
            </xdr:cNvPr>
            <xdr:cNvSpPr/>
          </xdr:nvSpPr>
          <xdr:spPr>
            <a:xfrm>
              <a:off x="12479631187" y="952766"/>
              <a:ext cx="78960" cy="70434"/>
            </a:xfrm>
            <a:prstGeom prst="triangle">
              <a:avLst/>
            </a:prstGeom>
            <a:solidFill>
              <a:srgbClr val="3DA1B9"/>
            </a:solidFill>
            <a:ln>
              <a:solidFill>
                <a:srgbClr val="3DA1B9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1" anchor="t"/>
            <a:lstStyle/>
            <a:p>
              <a:pPr algn="r" rtl="1"/>
              <a:endParaRPr lang="fa-IR" sz="1100">
                <a:latin typeface="Agency FB" panose="020B0503020202020204" pitchFamily="34" charset="0"/>
              </a:endParaRPr>
            </a:p>
          </xdr:txBody>
        </xdr:sp>
        <xdr:sp macro="" textlink="">
          <xdr:nvSpPr>
            <xdr:cNvPr id="216" name="Isosceles Triangle 215">
              <a:extLst>
                <a:ext uri="{FF2B5EF4-FFF2-40B4-BE49-F238E27FC236}">
                  <a16:creationId xmlns:a16="http://schemas.microsoft.com/office/drawing/2014/main" id="{00000000-0008-0000-0300-0000D8000000}"/>
                </a:ext>
              </a:extLst>
            </xdr:cNvPr>
            <xdr:cNvSpPr/>
          </xdr:nvSpPr>
          <xdr:spPr>
            <a:xfrm>
              <a:off x="12483093525" y="952766"/>
              <a:ext cx="78960" cy="70434"/>
            </a:xfrm>
            <a:prstGeom prst="triangle">
              <a:avLst/>
            </a:prstGeom>
            <a:solidFill>
              <a:srgbClr val="3DA1B9"/>
            </a:solidFill>
            <a:ln>
              <a:solidFill>
                <a:srgbClr val="3DA1B9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1" anchor="t"/>
            <a:lstStyle/>
            <a:p>
              <a:pPr algn="r" rtl="1"/>
              <a:endParaRPr lang="fa-IR" sz="1100">
                <a:latin typeface="Agency FB" panose="020B0503020202020204" pitchFamily="34" charset="0"/>
              </a:endParaRPr>
            </a:p>
          </xdr:txBody>
        </xdr:sp>
        <xdr:sp macro="" textlink="">
          <xdr:nvSpPr>
            <xdr:cNvPr id="217" name="Rectangle: Rounded Corners 216">
              <a:extLst>
                <a:ext uri="{FF2B5EF4-FFF2-40B4-BE49-F238E27FC236}">
                  <a16:creationId xmlns:a16="http://schemas.microsoft.com/office/drawing/2014/main" id="{00000000-0008-0000-0300-0000D9000000}"/>
                </a:ext>
              </a:extLst>
            </xdr:cNvPr>
            <xdr:cNvSpPr/>
          </xdr:nvSpPr>
          <xdr:spPr>
            <a:xfrm>
              <a:off x="12477797625" y="985102"/>
              <a:ext cx="6766246" cy="4429565"/>
            </a:xfrm>
            <a:prstGeom prst="roundRect">
              <a:avLst>
                <a:gd name="adj" fmla="val 2221"/>
              </a:avLst>
            </a:prstGeom>
            <a:solidFill>
              <a:schemeClr val="bg1"/>
            </a:solidFill>
            <a:ln w="6350">
              <a:solidFill>
                <a:srgbClr val="46AAC2"/>
              </a:solidFill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1" anchor="t"/>
            <a:lstStyle/>
            <a:p>
              <a:pPr algn="r" rtl="1"/>
              <a:endParaRPr lang="fa-IR" sz="1100">
                <a:latin typeface="Agency FB" panose="020B0503020202020204" pitchFamily="34" charset="0"/>
              </a:endParaRPr>
            </a:p>
          </xdr:txBody>
        </xdr:sp>
        <xdr:sp macro="" textlink="">
          <xdr:nvSpPr>
            <xdr:cNvPr id="218" name="Trapezoid 217">
              <a:extLst>
                <a:ext uri="{FF2B5EF4-FFF2-40B4-BE49-F238E27FC236}">
                  <a16:creationId xmlns:a16="http://schemas.microsoft.com/office/drawing/2014/main" id="{00000000-0008-0000-0300-0000DA000000}"/>
                </a:ext>
              </a:extLst>
            </xdr:cNvPr>
            <xdr:cNvSpPr/>
          </xdr:nvSpPr>
          <xdr:spPr>
            <a:xfrm rot="10800000">
              <a:off x="12479678061" y="946497"/>
              <a:ext cx="3448050" cy="287093"/>
            </a:xfrm>
            <a:prstGeom prst="trapezoid">
              <a:avLst/>
            </a:prstGeom>
            <a:solidFill>
              <a:srgbClr val="46AAC2"/>
            </a:solidFill>
            <a:ln>
              <a:solidFill>
                <a:srgbClr val="46AAC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1" anchor="t"/>
            <a:lstStyle/>
            <a:p>
              <a:pPr algn="r" rtl="1"/>
              <a:endParaRPr lang="fa-IR" sz="1100">
                <a:latin typeface="Agency FB" panose="020B0503020202020204" pitchFamily="34" charset="0"/>
              </a:endParaRPr>
            </a:p>
          </xdr:txBody>
        </xdr:sp>
      </xdr:grpSp>
      <xdr:sp macro="" textlink="">
        <xdr:nvSpPr>
          <xdr:cNvPr id="219" name="TextBox 218">
            <a:extLst>
              <a:ext uri="{FF2B5EF4-FFF2-40B4-BE49-F238E27FC236}">
                <a16:creationId xmlns:a16="http://schemas.microsoft.com/office/drawing/2014/main" id="{00000000-0008-0000-0300-0000DB000000}"/>
              </a:ext>
            </a:extLst>
          </xdr:cNvPr>
          <xdr:cNvSpPr txBox="1"/>
        </xdr:nvSpPr>
        <xdr:spPr>
          <a:xfrm>
            <a:off x="12476877574" y="18112441"/>
            <a:ext cx="3055327" cy="3004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ctr"/>
          <a:lstStyle/>
          <a:p>
            <a:pPr algn="ctr" rtl="1"/>
            <a:r>
              <a:rPr lang="fa-IR" sz="1300" baseline="0">
                <a:solidFill>
                  <a:schemeClr val="bg1"/>
                </a:solidFill>
                <a:effectLst>
                  <a:outerShdw blurRad="50800" dist="38100" dir="8100000" algn="tr" rotWithShape="0">
                    <a:prstClr val="black">
                      <a:alpha val="40000"/>
                    </a:prstClr>
                  </a:outerShdw>
                </a:effectLst>
                <a:latin typeface="Agency FB" panose="020B0503020202020204" pitchFamily="34" charset="0"/>
                <a:cs typeface="B Titr" panose="00000700000000000000" pitchFamily="2" charset="-78"/>
              </a:rPr>
              <a:t>حـق ماموریـت</a:t>
            </a:r>
            <a:endParaRPr lang="fa-IR" sz="1300">
              <a:solidFill>
                <a:schemeClr val="bg1"/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Agency FB" panose="020B0503020202020204" pitchFamily="34" charset="0"/>
              <a:cs typeface="B Titr" panose="00000700000000000000" pitchFamily="2" charset="-78"/>
            </a:endParaRPr>
          </a:p>
        </xdr:txBody>
      </xdr:sp>
      <xdr:pic>
        <xdr:nvPicPr>
          <xdr:cNvPr id="220" name="Picture 219">
            <a:extLst>
              <a:ext uri="{FF2B5EF4-FFF2-40B4-BE49-F238E27FC236}">
                <a16:creationId xmlns:a16="http://schemas.microsoft.com/office/drawing/2014/main" id="{00000000-0008-0000-0300-0000D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478045141" y="18430875"/>
            <a:ext cx="616538" cy="589323"/>
          </a:xfrm>
          <a:prstGeom prst="rect">
            <a:avLst/>
          </a:prstGeom>
        </xdr:spPr>
      </xdr:pic>
      <xdr:cxnSp macro="">
        <xdr:nvCxnSpPr>
          <xdr:cNvPr id="221" name="Straight Connector 220">
            <a:extLst>
              <a:ext uri="{FF2B5EF4-FFF2-40B4-BE49-F238E27FC236}">
                <a16:creationId xmlns:a16="http://schemas.microsoft.com/office/drawing/2014/main" id="{00000000-0008-0000-0300-0000DD000000}"/>
              </a:ext>
            </a:extLst>
          </xdr:cNvPr>
          <xdr:cNvCxnSpPr/>
        </xdr:nvCxnSpPr>
        <xdr:spPr>
          <a:xfrm>
            <a:off x="12478364939" y="19108026"/>
            <a:ext cx="0" cy="2139461"/>
          </a:xfrm>
          <a:prstGeom prst="line">
            <a:avLst/>
          </a:prstGeom>
          <a:ln w="12700" cap="flat" cmpd="sng" algn="ctr">
            <a:solidFill>
              <a:srgbClr val="FFC000"/>
            </a:solidFill>
            <a:prstDash val="dash"/>
            <a:round/>
            <a:headEnd type="none" w="med" len="med"/>
            <a:tailEnd type="none" w="med" len="med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</xdr:cxnSp>
      <xdr:grpSp>
        <xdr:nvGrpSpPr>
          <xdr:cNvPr id="222" name="Group 221">
            <a:extLst>
              <a:ext uri="{FF2B5EF4-FFF2-40B4-BE49-F238E27FC236}">
                <a16:creationId xmlns:a16="http://schemas.microsoft.com/office/drawing/2014/main" id="{00000000-0008-0000-0300-0000DE000000}"/>
              </a:ext>
            </a:extLst>
          </xdr:cNvPr>
          <xdr:cNvGrpSpPr/>
        </xdr:nvGrpSpPr>
        <xdr:grpSpPr>
          <a:xfrm>
            <a:off x="12473395821" y="21023076"/>
            <a:ext cx="4903174" cy="314012"/>
            <a:chOff x="12478442150" y="892510"/>
            <a:chExt cx="2482850" cy="326712"/>
          </a:xfrm>
        </xdr:grpSpPr>
        <xdr:grpSp>
          <xdr:nvGrpSpPr>
            <xdr:cNvPr id="223" name="Group 222">
              <a:extLst>
                <a:ext uri="{FF2B5EF4-FFF2-40B4-BE49-F238E27FC236}">
                  <a16:creationId xmlns:a16="http://schemas.microsoft.com/office/drawing/2014/main" id="{00000000-0008-0000-0300-0000DF000000}"/>
                </a:ext>
              </a:extLst>
            </xdr:cNvPr>
            <xdr:cNvGrpSpPr/>
          </xdr:nvGrpSpPr>
          <xdr:grpSpPr>
            <a:xfrm>
              <a:off x="12478442150" y="964612"/>
              <a:ext cx="2482850" cy="254610"/>
              <a:chOff x="12482150550" y="965200"/>
              <a:chExt cx="2482850" cy="254000"/>
            </a:xfrm>
          </xdr:grpSpPr>
          <xdr:sp macro="" textlink="">
            <xdr:nvSpPr>
              <xdr:cNvPr id="225" name="Rectangle 224">
                <a:extLst>
                  <a:ext uri="{FF2B5EF4-FFF2-40B4-BE49-F238E27FC236}">
                    <a16:creationId xmlns:a16="http://schemas.microsoft.com/office/drawing/2014/main" id="{00000000-0008-0000-0300-0000E1000000}"/>
                  </a:ext>
                </a:extLst>
              </xdr:cNvPr>
              <xdr:cNvSpPr/>
            </xdr:nvSpPr>
            <xdr:spPr>
              <a:xfrm>
                <a:off x="12482150550" y="965200"/>
                <a:ext cx="2482850" cy="196850"/>
              </a:xfrm>
              <a:prstGeom prst="rect">
                <a:avLst/>
              </a:prstGeom>
              <a:solidFill>
                <a:srgbClr val="3DA1B9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1" anchor="t"/>
              <a:lstStyle/>
              <a:p>
                <a:pPr algn="r" rtl="1"/>
                <a:endParaRPr lang="fa-IR" sz="1100">
                  <a:solidFill>
                    <a:srgbClr val="2D82AD"/>
                  </a:solidFill>
                  <a:latin typeface="Agency FB" panose="020B0503020202020204" pitchFamily="34" charset="0"/>
                </a:endParaRPr>
              </a:p>
            </xdr:txBody>
          </xdr:sp>
          <xdr:sp macro="" textlink="">
            <xdr:nvSpPr>
              <xdr:cNvPr id="226" name="Rectangle 225">
                <a:extLst>
                  <a:ext uri="{FF2B5EF4-FFF2-40B4-BE49-F238E27FC236}">
                    <a16:creationId xmlns:a16="http://schemas.microsoft.com/office/drawing/2014/main" id="{00000000-0008-0000-0300-0000E2000000}"/>
                  </a:ext>
                </a:extLst>
              </xdr:cNvPr>
              <xdr:cNvSpPr/>
            </xdr:nvSpPr>
            <xdr:spPr>
              <a:xfrm>
                <a:off x="12482150550" y="1162050"/>
                <a:ext cx="2482850" cy="57150"/>
              </a:xfrm>
              <a:prstGeom prst="rect">
                <a:avLst/>
              </a:prstGeom>
              <a:solidFill>
                <a:srgbClr val="FBB403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1" anchor="t"/>
              <a:lstStyle/>
              <a:p>
                <a:pPr algn="r" rtl="1"/>
                <a:endParaRPr lang="fa-IR" sz="1100">
                  <a:latin typeface="Agency FB" panose="020B0503020202020204" pitchFamily="34" charset="0"/>
                </a:endParaRPr>
              </a:p>
            </xdr:txBody>
          </xdr:sp>
        </xdr:grpSp>
        <xdr:sp macro="" textlink="">
          <xdr:nvSpPr>
            <xdr:cNvPr id="224" name="TextBox 223">
              <a:extLst>
                <a:ext uri="{FF2B5EF4-FFF2-40B4-BE49-F238E27FC236}">
                  <a16:creationId xmlns:a16="http://schemas.microsoft.com/office/drawing/2014/main" id="{00000000-0008-0000-0300-0000E0000000}"/>
                </a:ext>
              </a:extLst>
            </xdr:cNvPr>
            <xdr:cNvSpPr txBox="1"/>
          </xdr:nvSpPr>
          <xdr:spPr>
            <a:xfrm>
              <a:off x="12478593082" y="892510"/>
              <a:ext cx="2154118" cy="31445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r>
                <a:rPr lang="fa-IR" sz="1050" baseline="0">
                  <a:solidFill>
                    <a:schemeClr val="bg1"/>
                  </a:solidFill>
                  <a:effectLst>
                    <a:outerShdw blurRad="50800" dist="38100" dir="8100000" algn="tr" rotWithShape="0">
                      <a:prstClr val="black">
                        <a:alpha val="40000"/>
                      </a:prstClr>
                    </a:outerShdw>
                  </a:effectLst>
                  <a:latin typeface="Agency FB" panose="020B0503020202020204" pitchFamily="34" charset="0"/>
                  <a:ea typeface="Tahoma" panose="020B0604030504040204" pitchFamily="34" charset="0"/>
                  <a:cs typeface="B Titr" panose="00000700000000000000" pitchFamily="2" charset="-78"/>
                </a:rPr>
                <a:t> بندرعباس</a:t>
              </a:r>
              <a:endParaRPr lang="fa-IR" sz="1050">
                <a:solidFill>
                  <a:schemeClr val="bg1"/>
                </a:solidFill>
                <a:effectLst>
                  <a:outerShdw blurRad="50800" dist="38100" dir="8100000" algn="tr" rotWithShape="0">
                    <a:prstClr val="black">
                      <a:alpha val="40000"/>
                    </a:prstClr>
                  </a:outerShdw>
                </a:effectLst>
                <a:latin typeface="Agency FB" panose="020B0503020202020204" pitchFamily="34" charset="0"/>
                <a:ea typeface="Tahoma" panose="020B0604030504040204" pitchFamily="34" charset="0"/>
                <a:cs typeface="B Titr" panose="00000700000000000000" pitchFamily="2" charset="-78"/>
              </a:endParaRPr>
            </a:p>
          </xdr:txBody>
        </xdr:sp>
      </xdr:grpSp>
      <xdr:grpSp>
        <xdr:nvGrpSpPr>
          <xdr:cNvPr id="227" name="Group 226">
            <a:extLst>
              <a:ext uri="{FF2B5EF4-FFF2-40B4-BE49-F238E27FC236}">
                <a16:creationId xmlns:a16="http://schemas.microsoft.com/office/drawing/2014/main" id="{00000000-0008-0000-0300-0000E3000000}"/>
              </a:ext>
            </a:extLst>
          </xdr:cNvPr>
          <xdr:cNvGrpSpPr/>
        </xdr:nvGrpSpPr>
        <xdr:grpSpPr>
          <a:xfrm>
            <a:off x="12478460189" y="21023077"/>
            <a:ext cx="4674577" cy="314012"/>
            <a:chOff x="12478442150" y="892510"/>
            <a:chExt cx="2482850" cy="326712"/>
          </a:xfrm>
        </xdr:grpSpPr>
        <xdr:grpSp>
          <xdr:nvGrpSpPr>
            <xdr:cNvPr id="228" name="Group 227">
              <a:extLst>
                <a:ext uri="{FF2B5EF4-FFF2-40B4-BE49-F238E27FC236}">
                  <a16:creationId xmlns:a16="http://schemas.microsoft.com/office/drawing/2014/main" id="{00000000-0008-0000-0300-0000E4000000}"/>
                </a:ext>
              </a:extLst>
            </xdr:cNvPr>
            <xdr:cNvGrpSpPr/>
          </xdr:nvGrpSpPr>
          <xdr:grpSpPr>
            <a:xfrm>
              <a:off x="12478442150" y="964612"/>
              <a:ext cx="2482850" cy="254610"/>
              <a:chOff x="12482150550" y="965200"/>
              <a:chExt cx="2482850" cy="254000"/>
            </a:xfrm>
          </xdr:grpSpPr>
          <xdr:sp macro="" textlink="">
            <xdr:nvSpPr>
              <xdr:cNvPr id="230" name="Rectangle 229">
                <a:extLst>
                  <a:ext uri="{FF2B5EF4-FFF2-40B4-BE49-F238E27FC236}">
                    <a16:creationId xmlns:a16="http://schemas.microsoft.com/office/drawing/2014/main" id="{00000000-0008-0000-0300-0000E6000000}"/>
                  </a:ext>
                </a:extLst>
              </xdr:cNvPr>
              <xdr:cNvSpPr/>
            </xdr:nvSpPr>
            <xdr:spPr>
              <a:xfrm>
                <a:off x="12482150550" y="965200"/>
                <a:ext cx="2482850" cy="196850"/>
              </a:xfrm>
              <a:prstGeom prst="rect">
                <a:avLst/>
              </a:prstGeom>
              <a:solidFill>
                <a:srgbClr val="3DA1B9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1" anchor="t"/>
              <a:lstStyle/>
              <a:p>
                <a:pPr algn="r" rtl="1"/>
                <a:endParaRPr lang="fa-IR" sz="1100">
                  <a:solidFill>
                    <a:srgbClr val="2D82AD"/>
                  </a:solidFill>
                  <a:latin typeface="Agency FB" panose="020B0503020202020204" pitchFamily="34" charset="0"/>
                </a:endParaRPr>
              </a:p>
            </xdr:txBody>
          </xdr:sp>
          <xdr:sp macro="" textlink="">
            <xdr:nvSpPr>
              <xdr:cNvPr id="231" name="Rectangle 230">
                <a:extLst>
                  <a:ext uri="{FF2B5EF4-FFF2-40B4-BE49-F238E27FC236}">
                    <a16:creationId xmlns:a16="http://schemas.microsoft.com/office/drawing/2014/main" id="{00000000-0008-0000-0300-0000E7000000}"/>
                  </a:ext>
                </a:extLst>
              </xdr:cNvPr>
              <xdr:cNvSpPr/>
            </xdr:nvSpPr>
            <xdr:spPr>
              <a:xfrm>
                <a:off x="12482150550" y="1162050"/>
                <a:ext cx="2482850" cy="57150"/>
              </a:xfrm>
              <a:prstGeom prst="rect">
                <a:avLst/>
              </a:prstGeom>
              <a:solidFill>
                <a:srgbClr val="FBB403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1" anchor="t"/>
              <a:lstStyle/>
              <a:p>
                <a:pPr algn="r" rtl="1"/>
                <a:endParaRPr lang="fa-IR" sz="1100">
                  <a:latin typeface="Agency FB" panose="020B0503020202020204" pitchFamily="34" charset="0"/>
                </a:endParaRPr>
              </a:p>
            </xdr:txBody>
          </xdr:sp>
        </xdr:grpSp>
        <xdr:sp macro="" textlink="">
          <xdr:nvSpPr>
            <xdr:cNvPr id="229" name="TextBox 228">
              <a:extLst>
                <a:ext uri="{FF2B5EF4-FFF2-40B4-BE49-F238E27FC236}">
                  <a16:creationId xmlns:a16="http://schemas.microsoft.com/office/drawing/2014/main" id="{00000000-0008-0000-0300-0000E5000000}"/>
                </a:ext>
              </a:extLst>
            </xdr:cNvPr>
            <xdr:cNvSpPr txBox="1"/>
          </xdr:nvSpPr>
          <xdr:spPr>
            <a:xfrm>
              <a:off x="12478593082" y="892510"/>
              <a:ext cx="2154118" cy="31445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r>
                <a:rPr lang="fa-IR" sz="1050" baseline="0">
                  <a:solidFill>
                    <a:schemeClr val="bg1"/>
                  </a:solidFill>
                  <a:effectLst>
                    <a:outerShdw blurRad="50800" dist="38100" dir="8100000" algn="tr" rotWithShape="0">
                      <a:prstClr val="black">
                        <a:alpha val="40000"/>
                      </a:prstClr>
                    </a:outerShdw>
                  </a:effectLst>
                  <a:latin typeface="Agency FB" panose="020B0503020202020204" pitchFamily="34" charset="0"/>
                  <a:ea typeface="Tahoma" panose="020B0604030504040204" pitchFamily="34" charset="0"/>
                  <a:cs typeface="B Titr" panose="00000700000000000000" pitchFamily="2" charset="-78"/>
                </a:rPr>
                <a:t>دفتر مرکزی</a:t>
              </a:r>
              <a:endParaRPr lang="fa-IR" sz="1050">
                <a:solidFill>
                  <a:schemeClr val="bg1"/>
                </a:solidFill>
                <a:effectLst>
                  <a:outerShdw blurRad="50800" dist="38100" dir="8100000" algn="tr" rotWithShape="0">
                    <a:prstClr val="black">
                      <a:alpha val="40000"/>
                    </a:prstClr>
                  </a:outerShdw>
                </a:effectLst>
                <a:latin typeface="Agency FB" panose="020B0503020202020204" pitchFamily="34" charset="0"/>
                <a:ea typeface="Tahoma" panose="020B0604030504040204" pitchFamily="34" charset="0"/>
                <a:cs typeface="B Titr" panose="00000700000000000000" pitchFamily="2" charset="-78"/>
              </a:endParaRPr>
            </a:p>
          </xdr:txBody>
        </xdr:sp>
      </xdr:grpSp>
      <xdr:grpSp>
        <xdr:nvGrpSpPr>
          <xdr:cNvPr id="115" name="Group 114">
            <a:extLst>
              <a:ext uri="{FF2B5EF4-FFF2-40B4-BE49-F238E27FC236}">
                <a16:creationId xmlns:a16="http://schemas.microsoft.com/office/drawing/2014/main" id="{00000000-0008-0000-0300-000073000000}"/>
              </a:ext>
            </a:extLst>
          </xdr:cNvPr>
          <xdr:cNvGrpSpPr/>
        </xdr:nvGrpSpPr>
        <xdr:grpSpPr>
          <a:xfrm>
            <a:off x="12473401507" y="18492554"/>
            <a:ext cx="1417403" cy="552076"/>
            <a:chOff x="12473401507" y="18492554"/>
            <a:chExt cx="1417403" cy="552076"/>
          </a:xfrm>
        </xdr:grpSpPr>
        <xdr:sp macro="" textlink="">
          <xdr:nvSpPr>
            <xdr:cNvPr id="232" name="TextBox 231">
              <a:extLst>
                <a:ext uri="{FF2B5EF4-FFF2-40B4-BE49-F238E27FC236}">
                  <a16:creationId xmlns:a16="http://schemas.microsoft.com/office/drawing/2014/main" id="{00000000-0008-0000-0300-0000E8000000}"/>
                </a:ext>
              </a:extLst>
            </xdr:cNvPr>
            <xdr:cNvSpPr txBox="1"/>
          </xdr:nvSpPr>
          <xdr:spPr>
            <a:xfrm>
              <a:off x="12473401507" y="18492554"/>
              <a:ext cx="380512" cy="53356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r>
                <a:rPr lang="fa-IR" sz="3600">
                  <a:solidFill>
                    <a:srgbClr val="019BA7"/>
                  </a:solidFill>
                  <a:effectLst>
                    <a:outerShdw blurRad="50800" dist="38100" dir="8100000" algn="tr" rotWithShape="0">
                      <a:prstClr val="black">
                        <a:alpha val="40000"/>
                      </a:prstClr>
                    </a:outerShdw>
                  </a:effectLst>
                  <a:latin typeface="Agency FB" panose="020B0503020202020204" pitchFamily="34" charset="0"/>
                  <a:ea typeface="Tahoma" panose="020B0604030504040204" pitchFamily="34" charset="0"/>
                  <a:cs typeface="Tahoma" panose="020B0604030504040204" pitchFamily="34" charset="0"/>
                  <a:sym typeface="Webdings" panose="05030102010509060703" pitchFamily="18" charset="2"/>
                </a:rPr>
                <a:t></a:t>
              </a:r>
              <a:endParaRPr lang="fa-IR" sz="3600">
                <a:solidFill>
                  <a:srgbClr val="019BA7"/>
                </a:solidFill>
                <a:effectLst>
                  <a:outerShdw blurRad="50800" dist="38100" dir="8100000" algn="tr" rotWithShape="0">
                    <a:prstClr val="black">
                      <a:alpha val="40000"/>
                    </a:prstClr>
                  </a:outerShdw>
                </a:effectLst>
                <a:latin typeface="Agency FB" panose="020B050302020202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  <mc:AlternateContent xmlns:mc="http://schemas.openxmlformats.org/markup-compatibility/2006" xmlns:a14="http://schemas.microsoft.com/office/drawing/2010/main">
          <mc:Choice Requires="a14">
            <xdr:sp macro="" textlink="">
              <xdr:nvSpPr>
                <xdr:cNvPr id="233" name="TextBox 232">
                  <a:extLst>
                    <a:ext uri="{FF2B5EF4-FFF2-40B4-BE49-F238E27FC236}">
                      <a16:creationId xmlns:a16="http://schemas.microsoft.com/office/drawing/2014/main" id="{00000000-0008-0000-0300-0000E9000000}"/>
                    </a:ext>
                  </a:extLst>
                </xdr:cNvPr>
                <xdr:cNvSpPr txBox="1"/>
              </xdr:nvSpPr>
              <xdr:spPr>
                <a:xfrm flipH="1">
                  <a:off x="12473725007" y="18634710"/>
                  <a:ext cx="319068" cy="409920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lIns="0" tIns="0" rIns="0" bIns="0" rtlCol="1" anchor="t">
                  <a:spAutoFit/>
                </a:bodyPr>
                <a:lstStyle/>
                <a:p>
                  <a:pPr algn="r" rtl="1"/>
                  <a14:m>
                    <m:oMathPara xmlns:m="http://schemas.openxmlformats.org/officeDocument/2006/math">
                      <m:oMathParaPr>
                        <m:jc m:val="centerGroup"/>
                      </m:oMathParaPr>
                      <m:oMath xmlns:m="http://schemas.openxmlformats.org/officeDocument/2006/math"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fa-IR" sz="1100" i="1">
                                <a:solidFill>
                                  <a:srgbClr val="3DA1B9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/>
                        </m:nary>
                      </m:oMath>
                    </m:oMathPara>
                  </a14:m>
                  <a:endParaRPr lang="fa-IR" sz="1100">
                    <a:solidFill>
                      <a:srgbClr val="3DA1B9"/>
                    </a:solidFill>
                    <a:latin typeface="Agency FB" panose="020B0503020202020204" pitchFamily="34" charset="0"/>
                  </a:endParaRPr>
                </a:p>
              </xdr:txBody>
            </xdr:sp>
          </mc:Choice>
          <mc:Fallback xmlns="">
            <xdr:sp macro="" textlink="">
              <xdr:nvSpPr>
                <xdr:cNvPr id="233" name="TextBox 232">
                  <a:extLst>
                    <a:ext uri="{FF2B5EF4-FFF2-40B4-BE49-F238E27FC236}">
                      <a16:creationId xmlns:a16="http://schemas.microsoft.com/office/drawing/2014/main" id="{00000000-0008-0000-0300-0000E9000000}"/>
                    </a:ext>
                  </a:extLst>
                </xdr:cNvPr>
                <xdr:cNvSpPr txBox="1"/>
              </xdr:nvSpPr>
              <xdr:spPr>
                <a:xfrm flipH="1">
                  <a:off x="12473725007" y="18634710"/>
                  <a:ext cx="319068" cy="409920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lIns="0" tIns="0" rIns="0" bIns="0" rtlCol="1" anchor="t">
                  <a:spAutoFit/>
                </a:bodyPr>
                <a:lstStyle/>
                <a:p>
                  <a:pPr algn="r" rtl="1"/>
                  <a:r>
                    <a:rPr lang="fa-IR" sz="1100" i="0">
                      <a:solidFill>
                        <a:srgbClr val="3DA1B9"/>
                      </a:solidFill>
                      <a:latin typeface="Cambria Math" panose="02040503050406030204" pitchFamily="18" charset="0"/>
                    </a:rPr>
                    <a:t>∑</a:t>
                  </a:r>
                  <a:endParaRPr lang="fa-IR" sz="1100">
                    <a:solidFill>
                      <a:srgbClr val="3DA1B9"/>
                    </a:solidFill>
                    <a:latin typeface="Agency FB" panose="020B0503020202020204" pitchFamily="34" charset="0"/>
                  </a:endParaRPr>
                </a:p>
              </xdr:txBody>
            </xdr:sp>
          </mc:Fallback>
        </mc:AlternateContent>
        <xdr:sp macro="" textlink="calc!F193">
          <xdr:nvSpPr>
            <xdr:cNvPr id="234" name="TextBox 233">
              <a:extLst>
                <a:ext uri="{FF2B5EF4-FFF2-40B4-BE49-F238E27FC236}">
                  <a16:creationId xmlns:a16="http://schemas.microsoft.com/office/drawing/2014/main" id="{00000000-0008-0000-0300-0000EA000000}"/>
                </a:ext>
              </a:extLst>
            </xdr:cNvPr>
            <xdr:cNvSpPr txBox="1"/>
          </xdr:nvSpPr>
          <xdr:spPr>
            <a:xfrm>
              <a:off x="12473712545" y="18636565"/>
              <a:ext cx="1106365" cy="31505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fld id="{2C9EC4FC-6552-4730-8E0F-93B86AC58DAB}" type="TxLink">
                <a:rPr lang="en-US" sz="1400" b="1" i="0" u="none" strike="noStrike">
                  <a:solidFill>
                    <a:srgbClr val="3DA1B9"/>
                  </a:solidFill>
                  <a:latin typeface="Agency FB" panose="020B0503020202020204" pitchFamily="34" charset="0"/>
                  <a:cs typeface="B Nazanin"/>
                </a:rPr>
                <a:pPr algn="ctr" rtl="1"/>
                <a:t>0</a:t>
              </a:fld>
              <a:endParaRPr lang="fa-IR" sz="1100" b="1">
                <a:solidFill>
                  <a:srgbClr val="3DA1B9"/>
                </a:solidFill>
                <a:latin typeface="Agency FB" panose="020B0503020202020204" pitchFamily="34" charset="0"/>
              </a:endParaRPr>
            </a:p>
          </xdr:txBody>
        </xdr:sp>
      </xdr:grpSp>
      <xdr:grpSp>
        <xdr:nvGrpSpPr>
          <xdr:cNvPr id="116" name="Group 115">
            <a:extLst>
              <a:ext uri="{FF2B5EF4-FFF2-40B4-BE49-F238E27FC236}">
                <a16:creationId xmlns:a16="http://schemas.microsoft.com/office/drawing/2014/main" id="{00000000-0008-0000-0300-000074000000}"/>
              </a:ext>
            </a:extLst>
          </xdr:cNvPr>
          <xdr:cNvGrpSpPr/>
        </xdr:nvGrpSpPr>
        <xdr:grpSpPr>
          <a:xfrm>
            <a:off x="12481692876" y="18461258"/>
            <a:ext cx="1409673" cy="533565"/>
            <a:chOff x="12481692876" y="18461258"/>
            <a:chExt cx="1409673" cy="533565"/>
          </a:xfrm>
        </xdr:grpSpPr>
        <mc:AlternateContent xmlns:mc="http://schemas.openxmlformats.org/markup-compatibility/2006" xmlns:a14="http://schemas.microsoft.com/office/drawing/2010/main">
          <mc:Choice Requires="a14">
            <xdr:sp macro="" textlink="">
              <xdr:nvSpPr>
                <xdr:cNvPr id="235" name="TextBox 234">
                  <a:extLst>
                    <a:ext uri="{FF2B5EF4-FFF2-40B4-BE49-F238E27FC236}">
                      <a16:creationId xmlns:a16="http://schemas.microsoft.com/office/drawing/2014/main" id="{00000000-0008-0000-0300-0000EB000000}"/>
                    </a:ext>
                  </a:extLst>
                </xdr:cNvPr>
                <xdr:cNvSpPr txBox="1"/>
              </xdr:nvSpPr>
              <xdr:spPr>
                <a:xfrm flipH="1">
                  <a:off x="12481692876" y="18574839"/>
                  <a:ext cx="319068" cy="409920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lIns="0" tIns="0" rIns="0" bIns="0" rtlCol="1" anchor="t">
                  <a:spAutoFit/>
                </a:bodyPr>
                <a:lstStyle/>
                <a:p>
                  <a:pPr algn="r" rtl="1"/>
                  <a14:m>
                    <m:oMathPara xmlns:m="http://schemas.openxmlformats.org/officeDocument/2006/math">
                      <m:oMathParaPr>
                        <m:jc m:val="centerGroup"/>
                      </m:oMathParaPr>
                      <m:oMath xmlns:m="http://schemas.openxmlformats.org/officeDocument/2006/math"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fa-IR" sz="1100" i="1">
                                <a:solidFill>
                                  <a:srgbClr val="3DA1B9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/>
                        </m:nary>
                      </m:oMath>
                    </m:oMathPara>
                  </a14:m>
                  <a:endParaRPr lang="fa-IR" sz="1100">
                    <a:solidFill>
                      <a:srgbClr val="3DA1B9"/>
                    </a:solidFill>
                    <a:latin typeface="Agency FB" panose="020B0503020202020204" pitchFamily="34" charset="0"/>
                  </a:endParaRPr>
                </a:p>
              </xdr:txBody>
            </xdr:sp>
          </mc:Choice>
          <mc:Fallback xmlns="">
            <xdr:sp macro="" textlink="">
              <xdr:nvSpPr>
                <xdr:cNvPr id="235" name="TextBox 234">
                  <a:extLst>
                    <a:ext uri="{FF2B5EF4-FFF2-40B4-BE49-F238E27FC236}">
                      <a16:creationId xmlns:a16="http://schemas.microsoft.com/office/drawing/2014/main" id="{00000000-0008-0000-0300-0000EB000000}"/>
                    </a:ext>
                  </a:extLst>
                </xdr:cNvPr>
                <xdr:cNvSpPr txBox="1"/>
              </xdr:nvSpPr>
              <xdr:spPr>
                <a:xfrm flipH="1">
                  <a:off x="12481692876" y="18574839"/>
                  <a:ext cx="319068" cy="409920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lIns="0" tIns="0" rIns="0" bIns="0" rtlCol="1" anchor="t">
                  <a:spAutoFit/>
                </a:bodyPr>
                <a:lstStyle/>
                <a:p>
                  <a:pPr algn="r" rtl="1"/>
                  <a:r>
                    <a:rPr lang="fa-IR" sz="1100" i="0">
                      <a:solidFill>
                        <a:srgbClr val="3DA1B9"/>
                      </a:solidFill>
                      <a:latin typeface="Cambria Math" panose="02040503050406030204" pitchFamily="18" charset="0"/>
                    </a:rPr>
                    <a:t>∑</a:t>
                  </a:r>
                  <a:endParaRPr lang="fa-IR" sz="1100">
                    <a:solidFill>
                      <a:srgbClr val="3DA1B9"/>
                    </a:solidFill>
                    <a:latin typeface="Agency FB" panose="020B0503020202020204" pitchFamily="34" charset="0"/>
                  </a:endParaRPr>
                </a:p>
              </xdr:txBody>
            </xdr:sp>
          </mc:Fallback>
        </mc:AlternateContent>
        <xdr:sp macro="" textlink="calc!F206">
          <xdr:nvSpPr>
            <xdr:cNvPr id="236" name="TextBox 235">
              <a:extLst>
                <a:ext uri="{FF2B5EF4-FFF2-40B4-BE49-F238E27FC236}">
                  <a16:creationId xmlns:a16="http://schemas.microsoft.com/office/drawing/2014/main" id="{00000000-0008-0000-0300-0000EC000000}"/>
                </a:ext>
              </a:extLst>
            </xdr:cNvPr>
            <xdr:cNvSpPr txBox="1"/>
          </xdr:nvSpPr>
          <xdr:spPr>
            <a:xfrm>
              <a:off x="12481798125" y="18614794"/>
              <a:ext cx="954602" cy="31505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fld id="{D653FA53-3FBA-4561-ACEC-B16BFFD60701}" type="TxLink">
                <a:rPr lang="en-US" sz="1400" b="1" i="0" u="none" strike="noStrike">
                  <a:solidFill>
                    <a:srgbClr val="3DA1B9"/>
                  </a:solidFill>
                  <a:latin typeface="Agency FB" panose="020B0503020202020204" pitchFamily="34" charset="0"/>
                  <a:cs typeface="B Nazanin"/>
                </a:rPr>
                <a:pPr algn="ctr" rtl="1"/>
                <a:t>6,244,305</a:t>
              </a:fld>
              <a:endParaRPr lang="fa-IR" sz="1100" b="1">
                <a:solidFill>
                  <a:srgbClr val="3DA1B9"/>
                </a:solidFill>
                <a:latin typeface="Agency FB" panose="020B0503020202020204" pitchFamily="34" charset="0"/>
              </a:endParaRPr>
            </a:p>
          </xdr:txBody>
        </xdr:sp>
        <xdr:sp macro="" textlink="">
          <xdr:nvSpPr>
            <xdr:cNvPr id="237" name="TextBox 236">
              <a:extLst>
                <a:ext uri="{FF2B5EF4-FFF2-40B4-BE49-F238E27FC236}">
                  <a16:creationId xmlns:a16="http://schemas.microsoft.com/office/drawing/2014/main" id="{00000000-0008-0000-0300-0000ED000000}"/>
                </a:ext>
              </a:extLst>
            </xdr:cNvPr>
            <xdr:cNvSpPr txBox="1"/>
          </xdr:nvSpPr>
          <xdr:spPr>
            <a:xfrm>
              <a:off x="12482774233" y="18461258"/>
              <a:ext cx="328316" cy="53356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r>
                <a:rPr lang="fa-IR" sz="3600">
                  <a:solidFill>
                    <a:srgbClr val="019BA7"/>
                  </a:solidFill>
                  <a:effectLst>
                    <a:outerShdw blurRad="50800" dist="38100" dir="8100000" algn="tr" rotWithShape="0">
                      <a:prstClr val="black">
                        <a:alpha val="40000"/>
                      </a:prstClr>
                    </a:outerShdw>
                  </a:effectLst>
                  <a:latin typeface="Agency FB" panose="020B0503020202020204" pitchFamily="34" charset="0"/>
                  <a:ea typeface="Tahoma" panose="020B0604030504040204" pitchFamily="34" charset="0"/>
                  <a:cs typeface="Tahoma" panose="020B0604030504040204" pitchFamily="34" charset="0"/>
                  <a:sym typeface="Webdings" panose="05030102010509060703" pitchFamily="18" charset="2"/>
                </a:rPr>
                <a:t></a:t>
              </a:r>
              <a:endParaRPr lang="fa-IR" sz="3600">
                <a:solidFill>
                  <a:srgbClr val="019BA7"/>
                </a:solidFill>
                <a:effectLst>
                  <a:outerShdw blurRad="50800" dist="38100" dir="8100000" algn="tr" rotWithShape="0">
                    <a:prstClr val="black">
                      <a:alpha val="40000"/>
                    </a:prstClr>
                  </a:outerShdw>
                </a:effectLst>
                <a:latin typeface="Agency FB" panose="020B050302020202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xdr:grpSp>
    </xdr:grpSp>
    <xdr:clientData/>
  </xdr:twoCellAnchor>
  <xdr:twoCellAnchor>
    <xdr:from>
      <xdr:col>1</xdr:col>
      <xdr:colOff>7357</xdr:colOff>
      <xdr:row>26</xdr:row>
      <xdr:rowOff>5416</xdr:rowOff>
    </xdr:from>
    <xdr:to>
      <xdr:col>13</xdr:col>
      <xdr:colOff>747376</xdr:colOff>
      <xdr:row>37</xdr:row>
      <xdr:rowOff>143484</xdr:rowOff>
    </xdr:to>
    <xdr:grpSp>
      <xdr:nvGrpSpPr>
        <xdr:cNvPr id="90" name="Group 89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GrpSpPr/>
      </xdr:nvGrpSpPr>
      <xdr:grpSpPr>
        <a:xfrm>
          <a:off x="12473294678" y="7434916"/>
          <a:ext cx="9884019" cy="3281318"/>
          <a:chOff x="12473294678" y="10721041"/>
          <a:chExt cx="9884019" cy="3281318"/>
        </a:xfrm>
      </xdr:grpSpPr>
      <xdr:grpSp>
        <xdr:nvGrpSpPr>
          <xdr:cNvPr id="152" name="Group 151">
            <a:extLst>
              <a:ext uri="{FF2B5EF4-FFF2-40B4-BE49-F238E27FC236}">
                <a16:creationId xmlns:a16="http://schemas.microsoft.com/office/drawing/2014/main" id="{00000000-0008-0000-0300-000098000000}"/>
              </a:ext>
            </a:extLst>
          </xdr:cNvPr>
          <xdr:cNvGrpSpPr/>
        </xdr:nvGrpSpPr>
        <xdr:grpSpPr>
          <a:xfrm>
            <a:off x="12473294678" y="10770322"/>
            <a:ext cx="9884019" cy="3232037"/>
            <a:chOff x="12477797625" y="946497"/>
            <a:chExt cx="6766246" cy="4468170"/>
          </a:xfrm>
        </xdr:grpSpPr>
        <xdr:sp macro="" textlink="">
          <xdr:nvSpPr>
            <xdr:cNvPr id="153" name="Isosceles Triangle 152">
              <a:extLst>
                <a:ext uri="{FF2B5EF4-FFF2-40B4-BE49-F238E27FC236}">
                  <a16:creationId xmlns:a16="http://schemas.microsoft.com/office/drawing/2014/main" id="{00000000-0008-0000-0300-000099000000}"/>
                </a:ext>
              </a:extLst>
            </xdr:cNvPr>
            <xdr:cNvSpPr/>
          </xdr:nvSpPr>
          <xdr:spPr>
            <a:xfrm>
              <a:off x="12479631187" y="952766"/>
              <a:ext cx="78960" cy="70434"/>
            </a:xfrm>
            <a:prstGeom prst="triangle">
              <a:avLst/>
            </a:prstGeom>
            <a:solidFill>
              <a:srgbClr val="3DA1B9"/>
            </a:solidFill>
            <a:ln>
              <a:solidFill>
                <a:srgbClr val="3DA1B9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1" anchor="t"/>
            <a:lstStyle/>
            <a:p>
              <a:pPr algn="r" rtl="1"/>
              <a:endParaRPr lang="fa-IR" sz="1100"/>
            </a:p>
          </xdr:txBody>
        </xdr:sp>
        <xdr:sp macro="" textlink="">
          <xdr:nvSpPr>
            <xdr:cNvPr id="154" name="Isosceles Triangle 153">
              <a:extLst>
                <a:ext uri="{FF2B5EF4-FFF2-40B4-BE49-F238E27FC236}">
                  <a16:creationId xmlns:a16="http://schemas.microsoft.com/office/drawing/2014/main" id="{00000000-0008-0000-0300-00009A000000}"/>
                </a:ext>
              </a:extLst>
            </xdr:cNvPr>
            <xdr:cNvSpPr/>
          </xdr:nvSpPr>
          <xdr:spPr>
            <a:xfrm>
              <a:off x="12483093525" y="952766"/>
              <a:ext cx="78960" cy="70434"/>
            </a:xfrm>
            <a:prstGeom prst="triangle">
              <a:avLst/>
            </a:prstGeom>
            <a:solidFill>
              <a:srgbClr val="3DA1B9"/>
            </a:solidFill>
            <a:ln>
              <a:solidFill>
                <a:srgbClr val="3DA1B9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1" anchor="t"/>
            <a:lstStyle/>
            <a:p>
              <a:pPr algn="r" rtl="1"/>
              <a:endParaRPr lang="fa-IR" sz="1100"/>
            </a:p>
          </xdr:txBody>
        </xdr:sp>
        <xdr:sp macro="" textlink="">
          <xdr:nvSpPr>
            <xdr:cNvPr id="155" name="Rectangle: Rounded Corners 154">
              <a:extLst>
                <a:ext uri="{FF2B5EF4-FFF2-40B4-BE49-F238E27FC236}">
                  <a16:creationId xmlns:a16="http://schemas.microsoft.com/office/drawing/2014/main" id="{00000000-0008-0000-0300-00009B000000}"/>
                </a:ext>
              </a:extLst>
            </xdr:cNvPr>
            <xdr:cNvSpPr/>
          </xdr:nvSpPr>
          <xdr:spPr>
            <a:xfrm>
              <a:off x="12477797625" y="985102"/>
              <a:ext cx="6766246" cy="4429565"/>
            </a:xfrm>
            <a:prstGeom prst="roundRect">
              <a:avLst>
                <a:gd name="adj" fmla="val 2221"/>
              </a:avLst>
            </a:prstGeom>
            <a:solidFill>
              <a:schemeClr val="bg1"/>
            </a:solidFill>
            <a:ln w="6350">
              <a:solidFill>
                <a:srgbClr val="46AAC2"/>
              </a:solidFill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1" anchor="t"/>
            <a:lstStyle/>
            <a:p>
              <a:pPr algn="r" rtl="1"/>
              <a:endParaRPr lang="fa-IR" sz="1100"/>
            </a:p>
          </xdr:txBody>
        </xdr:sp>
        <xdr:sp macro="" textlink="">
          <xdr:nvSpPr>
            <xdr:cNvPr id="156" name="Trapezoid 155">
              <a:extLst>
                <a:ext uri="{FF2B5EF4-FFF2-40B4-BE49-F238E27FC236}">
                  <a16:creationId xmlns:a16="http://schemas.microsoft.com/office/drawing/2014/main" id="{00000000-0008-0000-0300-00009C000000}"/>
                </a:ext>
              </a:extLst>
            </xdr:cNvPr>
            <xdr:cNvSpPr/>
          </xdr:nvSpPr>
          <xdr:spPr>
            <a:xfrm rot="10800000">
              <a:off x="12479678061" y="946497"/>
              <a:ext cx="3448050" cy="287093"/>
            </a:xfrm>
            <a:prstGeom prst="trapezoid">
              <a:avLst/>
            </a:prstGeom>
            <a:solidFill>
              <a:srgbClr val="46AAC2"/>
            </a:solidFill>
            <a:ln>
              <a:solidFill>
                <a:srgbClr val="46AAC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1" anchor="t"/>
            <a:lstStyle/>
            <a:p>
              <a:pPr algn="r" rtl="1"/>
              <a:endParaRPr lang="fa-IR" sz="1100"/>
            </a:p>
          </xdr:txBody>
        </xdr:sp>
      </xdr:grpSp>
      <xdr:graphicFrame macro="">
        <xdr:nvGraphicFramePr>
          <xdr:cNvPr id="151" name="Chart 150">
            <a:extLst>
              <a:ext uri="{FF2B5EF4-FFF2-40B4-BE49-F238E27FC236}">
                <a16:creationId xmlns:a16="http://schemas.microsoft.com/office/drawing/2014/main" id="{00000000-0008-0000-0300-000097000000}"/>
              </a:ext>
            </a:extLst>
          </xdr:cNvPr>
          <xdr:cNvGraphicFramePr>
            <a:graphicFrameLocks/>
          </xdr:cNvGraphicFramePr>
        </xdr:nvGraphicFramePr>
        <xdr:xfrm>
          <a:off x="12473300971" y="11677650"/>
          <a:ext cx="5047744" cy="199852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2"/>
          </a:graphicData>
        </a:graphic>
      </xdr:graphicFrame>
      <xdr:sp macro="" textlink="">
        <xdr:nvSpPr>
          <xdr:cNvPr id="157" name="TextBox 156">
            <a:extLst>
              <a:ext uri="{FF2B5EF4-FFF2-40B4-BE49-F238E27FC236}">
                <a16:creationId xmlns:a16="http://schemas.microsoft.com/office/drawing/2014/main" id="{00000000-0008-0000-0300-00009D000000}"/>
              </a:ext>
            </a:extLst>
          </xdr:cNvPr>
          <xdr:cNvSpPr txBox="1"/>
        </xdr:nvSpPr>
        <xdr:spPr>
          <a:xfrm>
            <a:off x="12476877574" y="10721041"/>
            <a:ext cx="3055327" cy="3004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ctr"/>
          <a:lstStyle/>
          <a:p>
            <a:pPr algn="ctr" rtl="1"/>
            <a:r>
              <a:rPr lang="fa-IR" sz="1300" baseline="0">
                <a:solidFill>
                  <a:schemeClr val="bg1"/>
                </a:solidFill>
                <a:effectLst>
                  <a:outerShdw blurRad="50800" dist="38100" dir="8100000" algn="tr" rotWithShape="0">
                    <a:prstClr val="black">
                      <a:alpha val="40000"/>
                    </a:prstClr>
                  </a:outerShdw>
                </a:effectLst>
                <a:latin typeface="B titr"/>
                <a:cs typeface="B Titr" panose="00000700000000000000" pitchFamily="2" charset="-78"/>
              </a:rPr>
              <a:t>جمـعه کــاری و تـعطـیل کـاری</a:t>
            </a:r>
            <a:endParaRPr lang="fa-IR" sz="1300">
              <a:solidFill>
                <a:schemeClr val="bg1"/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B titr"/>
              <a:cs typeface="B Titr" panose="00000700000000000000" pitchFamily="2" charset="-78"/>
            </a:endParaRPr>
          </a:p>
        </xdr:txBody>
      </xdr:sp>
      <xdr:cxnSp macro="">
        <xdr:nvCxnSpPr>
          <xdr:cNvPr id="159" name="Straight Connector 158">
            <a:extLst>
              <a:ext uri="{FF2B5EF4-FFF2-40B4-BE49-F238E27FC236}">
                <a16:creationId xmlns:a16="http://schemas.microsoft.com/office/drawing/2014/main" id="{00000000-0008-0000-0300-00009F000000}"/>
              </a:ext>
            </a:extLst>
          </xdr:cNvPr>
          <xdr:cNvCxnSpPr/>
        </xdr:nvCxnSpPr>
        <xdr:spPr>
          <a:xfrm>
            <a:off x="12478364939" y="11726151"/>
            <a:ext cx="0" cy="2139461"/>
          </a:xfrm>
          <a:prstGeom prst="line">
            <a:avLst/>
          </a:prstGeom>
          <a:ln w="12700" cap="flat" cmpd="sng" algn="ctr">
            <a:solidFill>
              <a:srgbClr val="FFC000"/>
            </a:solidFill>
            <a:prstDash val="dash"/>
            <a:round/>
            <a:headEnd type="none" w="med" len="med"/>
            <a:tailEnd type="none" w="med" len="med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</xdr:cxnSp>
      <xdr:grpSp>
        <xdr:nvGrpSpPr>
          <xdr:cNvPr id="160" name="Group 159">
            <a:extLst>
              <a:ext uri="{FF2B5EF4-FFF2-40B4-BE49-F238E27FC236}">
                <a16:creationId xmlns:a16="http://schemas.microsoft.com/office/drawing/2014/main" id="{00000000-0008-0000-0300-0000A0000000}"/>
              </a:ext>
            </a:extLst>
          </xdr:cNvPr>
          <xdr:cNvGrpSpPr/>
        </xdr:nvGrpSpPr>
        <xdr:grpSpPr>
          <a:xfrm>
            <a:off x="12473395821" y="13631676"/>
            <a:ext cx="4903174" cy="314012"/>
            <a:chOff x="12478442150" y="892510"/>
            <a:chExt cx="2482850" cy="326712"/>
          </a:xfrm>
        </xdr:grpSpPr>
        <xdr:grpSp>
          <xdr:nvGrpSpPr>
            <xdr:cNvPr id="161" name="Group 160">
              <a:extLst>
                <a:ext uri="{FF2B5EF4-FFF2-40B4-BE49-F238E27FC236}">
                  <a16:creationId xmlns:a16="http://schemas.microsoft.com/office/drawing/2014/main" id="{00000000-0008-0000-0300-0000A1000000}"/>
                </a:ext>
              </a:extLst>
            </xdr:cNvPr>
            <xdr:cNvGrpSpPr/>
          </xdr:nvGrpSpPr>
          <xdr:grpSpPr>
            <a:xfrm>
              <a:off x="12478442150" y="964612"/>
              <a:ext cx="2482850" cy="254610"/>
              <a:chOff x="12482150550" y="965200"/>
              <a:chExt cx="2482850" cy="254000"/>
            </a:xfrm>
          </xdr:grpSpPr>
          <xdr:sp macro="" textlink="">
            <xdr:nvSpPr>
              <xdr:cNvPr id="163" name="Rectangle 162">
                <a:extLst>
                  <a:ext uri="{FF2B5EF4-FFF2-40B4-BE49-F238E27FC236}">
                    <a16:creationId xmlns:a16="http://schemas.microsoft.com/office/drawing/2014/main" id="{00000000-0008-0000-0300-0000A3000000}"/>
                  </a:ext>
                </a:extLst>
              </xdr:cNvPr>
              <xdr:cNvSpPr/>
            </xdr:nvSpPr>
            <xdr:spPr>
              <a:xfrm>
                <a:off x="12482150550" y="965200"/>
                <a:ext cx="2482850" cy="196850"/>
              </a:xfrm>
              <a:prstGeom prst="rect">
                <a:avLst/>
              </a:prstGeom>
              <a:solidFill>
                <a:srgbClr val="3DA1B9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1" anchor="t"/>
              <a:lstStyle/>
              <a:p>
                <a:pPr algn="r" rtl="1"/>
                <a:endParaRPr lang="fa-IR" sz="1100">
                  <a:solidFill>
                    <a:srgbClr val="2D82AD"/>
                  </a:solidFill>
                </a:endParaRPr>
              </a:p>
            </xdr:txBody>
          </xdr:sp>
          <xdr:sp macro="" textlink="">
            <xdr:nvSpPr>
              <xdr:cNvPr id="164" name="Rectangle 163">
                <a:extLst>
                  <a:ext uri="{FF2B5EF4-FFF2-40B4-BE49-F238E27FC236}">
                    <a16:creationId xmlns:a16="http://schemas.microsoft.com/office/drawing/2014/main" id="{00000000-0008-0000-0300-0000A4000000}"/>
                  </a:ext>
                </a:extLst>
              </xdr:cNvPr>
              <xdr:cNvSpPr/>
            </xdr:nvSpPr>
            <xdr:spPr>
              <a:xfrm>
                <a:off x="12482150550" y="1162050"/>
                <a:ext cx="2482850" cy="57150"/>
              </a:xfrm>
              <a:prstGeom prst="rect">
                <a:avLst/>
              </a:prstGeom>
              <a:solidFill>
                <a:srgbClr val="FBB403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1" anchor="t"/>
              <a:lstStyle/>
              <a:p>
                <a:pPr algn="r" rtl="1"/>
                <a:endParaRPr lang="fa-IR" sz="1100"/>
              </a:p>
            </xdr:txBody>
          </xdr:sp>
        </xdr:grpSp>
        <xdr:sp macro="" textlink="">
          <xdr:nvSpPr>
            <xdr:cNvPr id="162" name="TextBox 161">
              <a:extLst>
                <a:ext uri="{FF2B5EF4-FFF2-40B4-BE49-F238E27FC236}">
                  <a16:creationId xmlns:a16="http://schemas.microsoft.com/office/drawing/2014/main" id="{00000000-0008-0000-0300-0000A2000000}"/>
                </a:ext>
              </a:extLst>
            </xdr:cNvPr>
            <xdr:cNvSpPr txBox="1"/>
          </xdr:nvSpPr>
          <xdr:spPr>
            <a:xfrm>
              <a:off x="12478593082" y="892510"/>
              <a:ext cx="2154118" cy="31445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r>
                <a:rPr lang="fa-IR" sz="1050" baseline="0">
                  <a:solidFill>
                    <a:schemeClr val="bg1"/>
                  </a:solidFill>
                  <a:effectLst>
                    <a:outerShdw blurRad="50800" dist="38100" dir="8100000" algn="tr" rotWithShape="0">
                      <a:prstClr val="black">
                        <a:alpha val="40000"/>
                      </a:prstClr>
                    </a:outerShdw>
                  </a:effectLst>
                  <a:latin typeface="Tahoma" panose="020B0604030504040204" pitchFamily="34" charset="0"/>
                  <a:ea typeface="Tahoma" panose="020B0604030504040204" pitchFamily="34" charset="0"/>
                  <a:cs typeface="B Titr" panose="00000700000000000000" pitchFamily="2" charset="-78"/>
                </a:rPr>
                <a:t> بندرعباس</a:t>
              </a:r>
              <a:endParaRPr lang="fa-IR" sz="1050">
                <a:solidFill>
                  <a:schemeClr val="bg1"/>
                </a:solidFill>
                <a:effectLst>
                  <a:outerShdw blurRad="50800" dist="38100" dir="8100000" algn="tr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B Titr" panose="00000700000000000000" pitchFamily="2" charset="-78"/>
              </a:endParaRPr>
            </a:p>
          </xdr:txBody>
        </xdr:sp>
      </xdr:grpSp>
      <xdr:grpSp>
        <xdr:nvGrpSpPr>
          <xdr:cNvPr id="165" name="Group 164">
            <a:extLst>
              <a:ext uri="{FF2B5EF4-FFF2-40B4-BE49-F238E27FC236}">
                <a16:creationId xmlns:a16="http://schemas.microsoft.com/office/drawing/2014/main" id="{00000000-0008-0000-0300-0000A5000000}"/>
              </a:ext>
            </a:extLst>
          </xdr:cNvPr>
          <xdr:cNvGrpSpPr/>
        </xdr:nvGrpSpPr>
        <xdr:grpSpPr>
          <a:xfrm>
            <a:off x="12478460189" y="13631677"/>
            <a:ext cx="4674577" cy="314012"/>
            <a:chOff x="12478442150" y="892510"/>
            <a:chExt cx="2482850" cy="326712"/>
          </a:xfrm>
        </xdr:grpSpPr>
        <xdr:grpSp>
          <xdr:nvGrpSpPr>
            <xdr:cNvPr id="166" name="Group 165">
              <a:extLst>
                <a:ext uri="{FF2B5EF4-FFF2-40B4-BE49-F238E27FC236}">
                  <a16:creationId xmlns:a16="http://schemas.microsoft.com/office/drawing/2014/main" id="{00000000-0008-0000-0300-0000A6000000}"/>
                </a:ext>
              </a:extLst>
            </xdr:cNvPr>
            <xdr:cNvGrpSpPr/>
          </xdr:nvGrpSpPr>
          <xdr:grpSpPr>
            <a:xfrm>
              <a:off x="12478442150" y="964612"/>
              <a:ext cx="2482850" cy="254610"/>
              <a:chOff x="12482150550" y="965200"/>
              <a:chExt cx="2482850" cy="254000"/>
            </a:xfrm>
          </xdr:grpSpPr>
          <xdr:sp macro="" textlink="">
            <xdr:nvSpPr>
              <xdr:cNvPr id="168" name="Rectangle 167">
                <a:extLst>
                  <a:ext uri="{FF2B5EF4-FFF2-40B4-BE49-F238E27FC236}">
                    <a16:creationId xmlns:a16="http://schemas.microsoft.com/office/drawing/2014/main" id="{00000000-0008-0000-0300-0000A8000000}"/>
                  </a:ext>
                </a:extLst>
              </xdr:cNvPr>
              <xdr:cNvSpPr/>
            </xdr:nvSpPr>
            <xdr:spPr>
              <a:xfrm>
                <a:off x="12482150550" y="965200"/>
                <a:ext cx="2482850" cy="196850"/>
              </a:xfrm>
              <a:prstGeom prst="rect">
                <a:avLst/>
              </a:prstGeom>
              <a:solidFill>
                <a:srgbClr val="3DA1B9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1" anchor="t"/>
              <a:lstStyle/>
              <a:p>
                <a:pPr algn="r" rtl="1"/>
                <a:endParaRPr lang="fa-IR" sz="1100">
                  <a:solidFill>
                    <a:srgbClr val="2D82AD"/>
                  </a:solidFill>
                </a:endParaRPr>
              </a:p>
            </xdr:txBody>
          </xdr:sp>
          <xdr:sp macro="" textlink="">
            <xdr:nvSpPr>
              <xdr:cNvPr id="169" name="Rectangle 168">
                <a:extLst>
                  <a:ext uri="{FF2B5EF4-FFF2-40B4-BE49-F238E27FC236}">
                    <a16:creationId xmlns:a16="http://schemas.microsoft.com/office/drawing/2014/main" id="{00000000-0008-0000-0300-0000A9000000}"/>
                  </a:ext>
                </a:extLst>
              </xdr:cNvPr>
              <xdr:cNvSpPr/>
            </xdr:nvSpPr>
            <xdr:spPr>
              <a:xfrm>
                <a:off x="12482150550" y="1162050"/>
                <a:ext cx="2482850" cy="57150"/>
              </a:xfrm>
              <a:prstGeom prst="rect">
                <a:avLst/>
              </a:prstGeom>
              <a:solidFill>
                <a:srgbClr val="FBB403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1" anchor="t"/>
              <a:lstStyle/>
              <a:p>
                <a:pPr algn="r" rtl="1"/>
                <a:endParaRPr lang="fa-IR" sz="1100"/>
              </a:p>
            </xdr:txBody>
          </xdr:sp>
        </xdr:grpSp>
        <xdr:sp macro="" textlink="">
          <xdr:nvSpPr>
            <xdr:cNvPr id="167" name="TextBox 166">
              <a:extLst>
                <a:ext uri="{FF2B5EF4-FFF2-40B4-BE49-F238E27FC236}">
                  <a16:creationId xmlns:a16="http://schemas.microsoft.com/office/drawing/2014/main" id="{00000000-0008-0000-0300-0000A7000000}"/>
                </a:ext>
              </a:extLst>
            </xdr:cNvPr>
            <xdr:cNvSpPr txBox="1"/>
          </xdr:nvSpPr>
          <xdr:spPr>
            <a:xfrm>
              <a:off x="12478593082" y="892510"/>
              <a:ext cx="2154118" cy="31445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r>
                <a:rPr lang="fa-IR" sz="1050" baseline="0">
                  <a:solidFill>
                    <a:schemeClr val="bg1"/>
                  </a:solidFill>
                  <a:effectLst>
                    <a:outerShdw blurRad="50800" dist="38100" dir="8100000" algn="tr" rotWithShape="0">
                      <a:prstClr val="black">
                        <a:alpha val="40000"/>
                      </a:prstClr>
                    </a:outerShdw>
                  </a:effectLst>
                  <a:latin typeface="Tahoma" panose="020B0604030504040204" pitchFamily="34" charset="0"/>
                  <a:ea typeface="Tahoma" panose="020B0604030504040204" pitchFamily="34" charset="0"/>
                  <a:cs typeface="B Titr" panose="00000700000000000000" pitchFamily="2" charset="-78"/>
                </a:rPr>
                <a:t>دفتر مرکزی</a:t>
              </a:r>
              <a:endParaRPr lang="fa-IR" sz="1050">
                <a:solidFill>
                  <a:schemeClr val="bg1"/>
                </a:solidFill>
                <a:effectLst>
                  <a:outerShdw blurRad="50800" dist="38100" dir="8100000" algn="tr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B Titr" panose="00000700000000000000" pitchFamily="2" charset="-78"/>
              </a:endParaRPr>
            </a:p>
          </xdr:txBody>
        </xdr:sp>
      </xdr:grpSp>
      <xdr:grpSp>
        <xdr:nvGrpSpPr>
          <xdr:cNvPr id="83" name="Group 82">
            <a:extLst>
              <a:ext uri="{FF2B5EF4-FFF2-40B4-BE49-F238E27FC236}">
                <a16:creationId xmlns:a16="http://schemas.microsoft.com/office/drawing/2014/main" id="{00000000-0008-0000-0300-000053000000}"/>
              </a:ext>
            </a:extLst>
          </xdr:cNvPr>
          <xdr:cNvGrpSpPr/>
        </xdr:nvGrpSpPr>
        <xdr:grpSpPr>
          <a:xfrm>
            <a:off x="12473401507" y="11159247"/>
            <a:ext cx="1492243" cy="571858"/>
            <a:chOff x="12473401507" y="11159247"/>
            <a:chExt cx="1492243" cy="571858"/>
          </a:xfrm>
        </xdr:grpSpPr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300-0000AA000000}"/>
                </a:ext>
              </a:extLst>
            </xdr:cNvPr>
            <xdr:cNvSpPr txBox="1"/>
          </xdr:nvSpPr>
          <xdr:spPr>
            <a:xfrm>
              <a:off x="12473401507" y="11159247"/>
              <a:ext cx="380512" cy="53356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r>
                <a:rPr lang="fa-IR" sz="3600">
                  <a:solidFill>
                    <a:srgbClr val="019BA7"/>
                  </a:solidFill>
                  <a:effectLst>
                    <a:outerShdw blurRad="50800" dist="38100" dir="8100000" algn="tr" rotWithShape="0">
                      <a:prstClr val="black">
                        <a:alpha val="40000"/>
                      </a:prstClr>
                    </a:outerShdw>
                  </a:effectLst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  <a:sym typeface="Webdings" panose="05030102010509060703" pitchFamily="18" charset="2"/>
                </a:rPr>
                <a:t></a:t>
              </a:r>
              <a:endParaRPr lang="fa-IR" sz="3600">
                <a:solidFill>
                  <a:srgbClr val="019BA7"/>
                </a:solidFill>
                <a:effectLst>
                  <a:outerShdw blurRad="50800" dist="38100" dir="8100000" algn="tr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  <mc:AlternateContent xmlns:mc="http://schemas.openxmlformats.org/markup-compatibility/2006" xmlns:a14="http://schemas.microsoft.com/office/drawing/2010/main">
          <mc:Choice Requires="a14">
            <xdr:sp macro="" textlink="">
              <xdr:nvSpPr>
                <xdr:cNvPr id="171" name="TextBox 170">
                  <a:extLst>
                    <a:ext uri="{FF2B5EF4-FFF2-40B4-BE49-F238E27FC236}">
                      <a16:creationId xmlns:a16="http://schemas.microsoft.com/office/drawing/2014/main" id="{00000000-0008-0000-0300-0000AB000000}"/>
                    </a:ext>
                  </a:extLst>
                </xdr:cNvPr>
                <xdr:cNvSpPr txBox="1"/>
              </xdr:nvSpPr>
              <xdr:spPr>
                <a:xfrm flipH="1">
                  <a:off x="12473725007" y="11321185"/>
                  <a:ext cx="319068" cy="409920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lIns="0" tIns="0" rIns="0" bIns="0" rtlCol="1" anchor="t">
                  <a:spAutoFit/>
                </a:bodyPr>
                <a:lstStyle/>
                <a:p>
                  <a:pPr algn="r" rtl="1"/>
                  <a14:m>
                    <m:oMathPara xmlns:m="http://schemas.openxmlformats.org/officeDocument/2006/math">
                      <m:oMathParaPr>
                        <m:jc m:val="centerGroup"/>
                      </m:oMathParaPr>
                      <m:oMath xmlns:m="http://schemas.openxmlformats.org/officeDocument/2006/math"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fa-IR" sz="1100" i="1">
                                <a:solidFill>
                                  <a:srgbClr val="3DA1B9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/>
                        </m:nary>
                      </m:oMath>
                    </m:oMathPara>
                  </a14:m>
                  <a:endParaRPr lang="fa-IR" sz="1100">
                    <a:solidFill>
                      <a:srgbClr val="3DA1B9"/>
                    </a:solidFill>
                  </a:endParaRPr>
                </a:p>
              </xdr:txBody>
            </xdr:sp>
          </mc:Choice>
          <mc:Fallback xmlns="">
            <xdr:sp macro="" textlink="">
              <xdr:nvSpPr>
                <xdr:cNvPr id="171" name="TextBox 170">
                  <a:extLst>
                    <a:ext uri="{FF2B5EF4-FFF2-40B4-BE49-F238E27FC236}">
                      <a16:creationId xmlns:a16="http://schemas.microsoft.com/office/drawing/2014/main" id="{00000000-0008-0000-0300-0000AB000000}"/>
                    </a:ext>
                  </a:extLst>
                </xdr:cNvPr>
                <xdr:cNvSpPr txBox="1"/>
              </xdr:nvSpPr>
              <xdr:spPr>
                <a:xfrm flipH="1">
                  <a:off x="12473725007" y="11321185"/>
                  <a:ext cx="319068" cy="409920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lIns="0" tIns="0" rIns="0" bIns="0" rtlCol="1" anchor="t">
                  <a:spAutoFit/>
                </a:bodyPr>
                <a:lstStyle/>
                <a:p>
                  <a:pPr algn="r" rtl="1"/>
                  <a:r>
                    <a:rPr lang="fa-IR" sz="1100" i="0">
                      <a:solidFill>
                        <a:srgbClr val="3DA1B9"/>
                      </a:solidFill>
                      <a:latin typeface="Cambria Math" panose="02040503050406030204" pitchFamily="18" charset="0"/>
                    </a:rPr>
                    <a:t>∑</a:t>
                  </a:r>
                  <a:endParaRPr lang="fa-IR" sz="1100">
                    <a:solidFill>
                      <a:srgbClr val="3DA1B9"/>
                    </a:solidFill>
                  </a:endParaRPr>
                </a:p>
              </xdr:txBody>
            </xdr:sp>
          </mc:Fallback>
        </mc:AlternateContent>
        <xdr:sp macro="" textlink="calc!F115">
          <xdr:nvSpPr>
            <xdr:cNvPr id="172" name="TextBox 171">
              <a:extLst>
                <a:ext uri="{FF2B5EF4-FFF2-40B4-BE49-F238E27FC236}">
                  <a16:creationId xmlns:a16="http://schemas.microsoft.com/office/drawing/2014/main" id="{00000000-0008-0000-0300-0000AC000000}"/>
                </a:ext>
              </a:extLst>
            </xdr:cNvPr>
            <xdr:cNvSpPr txBox="1"/>
          </xdr:nvSpPr>
          <xdr:spPr>
            <a:xfrm>
              <a:off x="12473787385" y="11369200"/>
              <a:ext cx="1106365" cy="31505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fld id="{C11727A3-E44F-446A-969D-566E7C83C179}" type="TxLink">
                <a:rPr lang="en-US" sz="1400" b="1" i="0" u="none" strike="noStrike">
                  <a:solidFill>
                    <a:srgbClr val="3DA1B9"/>
                  </a:solidFill>
                  <a:latin typeface="Agency FB" panose="020B0503020202020204" pitchFamily="34" charset="0"/>
                  <a:cs typeface="B Nazanin"/>
                </a:rPr>
                <a:pPr algn="ctr" rtl="1"/>
                <a:t>52,786,628</a:t>
              </a:fld>
              <a:endParaRPr lang="fa-IR" sz="1100" b="1">
                <a:solidFill>
                  <a:srgbClr val="3DA1B9"/>
                </a:solidFill>
                <a:latin typeface="Agency FB" panose="020B0503020202020204" pitchFamily="34" charset="0"/>
              </a:endParaRPr>
            </a:p>
          </xdr:txBody>
        </xdr:sp>
      </xdr:grpSp>
      <xdr:grpSp>
        <xdr:nvGrpSpPr>
          <xdr:cNvPr id="87" name="Group 86">
            <a:extLst>
              <a:ext uri="{FF2B5EF4-FFF2-40B4-BE49-F238E27FC236}">
                <a16:creationId xmlns:a16="http://schemas.microsoft.com/office/drawing/2014/main" id="{00000000-0008-0000-0300-000057000000}"/>
              </a:ext>
            </a:extLst>
          </xdr:cNvPr>
          <xdr:cNvGrpSpPr/>
        </xdr:nvGrpSpPr>
        <xdr:grpSpPr>
          <a:xfrm>
            <a:off x="12481692876" y="11156316"/>
            <a:ext cx="1415360" cy="574789"/>
            <a:chOff x="12481692876" y="11156316"/>
            <a:chExt cx="1415360" cy="574789"/>
          </a:xfrm>
        </xdr:grpSpPr>
        <xdr:sp macro="" textlink="">
          <xdr:nvSpPr>
            <xdr:cNvPr id="173" name="TextBox 172">
              <a:extLst>
                <a:ext uri="{FF2B5EF4-FFF2-40B4-BE49-F238E27FC236}">
                  <a16:creationId xmlns:a16="http://schemas.microsoft.com/office/drawing/2014/main" id="{00000000-0008-0000-0300-0000AD000000}"/>
                </a:ext>
              </a:extLst>
            </xdr:cNvPr>
            <xdr:cNvSpPr txBox="1"/>
          </xdr:nvSpPr>
          <xdr:spPr>
            <a:xfrm>
              <a:off x="12482727724" y="11156316"/>
              <a:ext cx="380512" cy="53356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r>
                <a:rPr lang="fa-IR" sz="3600">
                  <a:solidFill>
                    <a:srgbClr val="019BA7"/>
                  </a:solidFill>
                  <a:effectLst>
                    <a:outerShdw blurRad="50800" dist="38100" dir="8100000" algn="tr" rotWithShape="0">
                      <a:prstClr val="black">
                        <a:alpha val="40000"/>
                      </a:prstClr>
                    </a:outerShdw>
                  </a:effectLst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  <a:sym typeface="Webdings" panose="05030102010509060703" pitchFamily="18" charset="2"/>
                </a:rPr>
                <a:t></a:t>
              </a:r>
              <a:endParaRPr lang="fa-IR" sz="3600">
                <a:solidFill>
                  <a:srgbClr val="019BA7"/>
                </a:solidFill>
                <a:effectLst>
                  <a:outerShdw blurRad="50800" dist="38100" dir="8100000" algn="tr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  <xdr:sp macro="" textlink="calc!F128">
          <xdr:nvSpPr>
            <xdr:cNvPr id="174" name="TextBox 173">
              <a:extLst>
                <a:ext uri="{FF2B5EF4-FFF2-40B4-BE49-F238E27FC236}">
                  <a16:creationId xmlns:a16="http://schemas.microsoft.com/office/drawing/2014/main" id="{00000000-0008-0000-0300-0000AE000000}"/>
                </a:ext>
              </a:extLst>
            </xdr:cNvPr>
            <xdr:cNvSpPr txBox="1"/>
          </xdr:nvSpPr>
          <xdr:spPr>
            <a:xfrm>
              <a:off x="12481701832" y="11350882"/>
              <a:ext cx="1106365" cy="31505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fld id="{CC2FFE9B-F052-48C9-8F17-2188BF3AE81A}" type="TxLink">
                <a:rPr lang="en-US" sz="1400" b="1" i="0" u="none" strike="noStrike">
                  <a:solidFill>
                    <a:srgbClr val="3DA1B9"/>
                  </a:solidFill>
                  <a:latin typeface="Agency FB" panose="020B0503020202020204" pitchFamily="34" charset="0"/>
                  <a:cs typeface="B Nazanin"/>
                </a:rPr>
                <a:pPr algn="ctr" rtl="1"/>
                <a:t>0</a:t>
              </a:fld>
              <a:endParaRPr lang="fa-IR" sz="1100" b="1">
                <a:solidFill>
                  <a:srgbClr val="3DA1B9"/>
                </a:solidFill>
                <a:latin typeface="Agency FB" panose="020B0503020202020204" pitchFamily="34" charset="0"/>
              </a:endParaRPr>
            </a:p>
          </xdr:txBody>
        </xdr:sp>
        <mc:AlternateContent xmlns:mc="http://schemas.openxmlformats.org/markup-compatibility/2006" xmlns:a14="http://schemas.microsoft.com/office/drawing/2010/main">
          <mc:Choice Requires="a14">
            <xdr:sp macro="" textlink="">
              <xdr:nvSpPr>
                <xdr:cNvPr id="175" name="TextBox 174">
                  <a:extLst>
                    <a:ext uri="{FF2B5EF4-FFF2-40B4-BE49-F238E27FC236}">
                      <a16:creationId xmlns:a16="http://schemas.microsoft.com/office/drawing/2014/main" id="{00000000-0008-0000-0300-0000AF000000}"/>
                    </a:ext>
                  </a:extLst>
                </xdr:cNvPr>
                <xdr:cNvSpPr txBox="1"/>
              </xdr:nvSpPr>
              <xdr:spPr>
                <a:xfrm flipH="1">
                  <a:off x="12481692876" y="11321185"/>
                  <a:ext cx="319068" cy="409920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lIns="0" tIns="0" rIns="0" bIns="0" rtlCol="1" anchor="t">
                  <a:spAutoFit/>
                </a:bodyPr>
                <a:lstStyle/>
                <a:p>
                  <a:pPr algn="r" rtl="1"/>
                  <a14:m>
                    <m:oMathPara xmlns:m="http://schemas.openxmlformats.org/officeDocument/2006/math">
                      <m:oMathParaPr>
                        <m:jc m:val="centerGroup"/>
                      </m:oMathParaPr>
                      <m:oMath xmlns:m="http://schemas.openxmlformats.org/officeDocument/2006/math"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fa-IR" sz="1100" i="1">
                                <a:solidFill>
                                  <a:srgbClr val="3DA1B9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/>
                        </m:nary>
                      </m:oMath>
                    </m:oMathPara>
                  </a14:m>
                  <a:endParaRPr lang="fa-IR" sz="1100">
                    <a:solidFill>
                      <a:srgbClr val="3DA1B9"/>
                    </a:solidFill>
                  </a:endParaRPr>
                </a:p>
              </xdr:txBody>
            </xdr:sp>
          </mc:Choice>
          <mc:Fallback xmlns="">
            <xdr:sp macro="" textlink="">
              <xdr:nvSpPr>
                <xdr:cNvPr id="175" name="TextBox 174">
                  <a:extLst>
                    <a:ext uri="{FF2B5EF4-FFF2-40B4-BE49-F238E27FC236}">
                      <a16:creationId xmlns:a16="http://schemas.microsoft.com/office/drawing/2014/main" id="{00000000-0008-0000-0300-0000AF000000}"/>
                    </a:ext>
                  </a:extLst>
                </xdr:cNvPr>
                <xdr:cNvSpPr txBox="1"/>
              </xdr:nvSpPr>
              <xdr:spPr>
                <a:xfrm flipH="1">
                  <a:off x="12481692876" y="11321185"/>
                  <a:ext cx="319068" cy="409920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lIns="0" tIns="0" rIns="0" bIns="0" rtlCol="1" anchor="t">
                  <a:spAutoFit/>
                </a:bodyPr>
                <a:lstStyle/>
                <a:p>
                  <a:pPr algn="r" rtl="1"/>
                  <a:r>
                    <a:rPr lang="fa-IR" sz="1100" i="0">
                      <a:solidFill>
                        <a:srgbClr val="3DA1B9"/>
                      </a:solidFill>
                      <a:latin typeface="Cambria Math" panose="02040503050406030204" pitchFamily="18" charset="0"/>
                    </a:rPr>
                    <a:t>∑</a:t>
                  </a:r>
                  <a:endParaRPr lang="fa-IR" sz="1100">
                    <a:solidFill>
                      <a:srgbClr val="3DA1B9"/>
                    </a:solidFill>
                  </a:endParaRPr>
                </a:p>
              </xdr:txBody>
            </xdr:sp>
          </mc:Fallback>
        </mc:AlternateContent>
      </xdr:grpSp>
      <xdr:pic>
        <xdr:nvPicPr>
          <xdr:cNvPr id="176" name="Picture 175" descr="Friday calendar icon, day of the week for schedule work sign 12932024  Vector Art at Vecteezy">
            <a:extLst>
              <a:ext uri="{FF2B5EF4-FFF2-40B4-BE49-F238E27FC236}">
                <a16:creationId xmlns:a16="http://schemas.microsoft.com/office/drawing/2014/main" id="{00000000-0008-0000-0300-0000B0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3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000" t="21111" r="23333" b="23333"/>
          <a:stretch/>
        </xdr:blipFill>
        <xdr:spPr bwMode="auto">
          <a:xfrm>
            <a:off x="12478031506" y="11020425"/>
            <a:ext cx="641220" cy="6286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84" name="Group 83">
            <a:extLst>
              <a:ext uri="{FF2B5EF4-FFF2-40B4-BE49-F238E27FC236}">
                <a16:creationId xmlns:a16="http://schemas.microsoft.com/office/drawing/2014/main" id="{00000000-0008-0000-0300-000054000000}"/>
              </a:ext>
            </a:extLst>
          </xdr:cNvPr>
          <xdr:cNvGrpSpPr/>
        </xdr:nvGrpSpPr>
        <xdr:grpSpPr>
          <a:xfrm>
            <a:off x="12473422984" y="10841903"/>
            <a:ext cx="1238109" cy="415816"/>
            <a:chOff x="12473422984" y="10841903"/>
            <a:chExt cx="1238109" cy="415816"/>
          </a:xfrm>
        </xdr:grpSpPr>
        <xdr:pic>
          <xdr:nvPicPr>
            <xdr:cNvPr id="210" name="Picture 209">
              <a:extLst>
                <a:ext uri="{FF2B5EF4-FFF2-40B4-BE49-F238E27FC236}">
                  <a16:creationId xmlns:a16="http://schemas.microsoft.com/office/drawing/2014/main" id="{00000000-0008-0000-0300-0000D2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7" cstate="print">
              <a:duotone>
                <a:schemeClr val="accent5">
                  <a:shade val="45000"/>
                  <a:satMod val="135000"/>
                </a:scheme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2473422984" y="10841903"/>
              <a:ext cx="431800" cy="415816"/>
            </a:xfrm>
            <a:prstGeom prst="rect">
              <a:avLst/>
            </a:prstGeom>
          </xdr:spPr>
        </xdr:pic>
        <xdr:sp macro="" textlink="calc!D115">
          <xdr:nvSpPr>
            <xdr:cNvPr id="211" name="TextBox 210">
              <a:extLst>
                <a:ext uri="{FF2B5EF4-FFF2-40B4-BE49-F238E27FC236}">
                  <a16:creationId xmlns:a16="http://schemas.microsoft.com/office/drawing/2014/main" id="{00000000-0008-0000-0300-0000D3000000}"/>
                </a:ext>
              </a:extLst>
            </xdr:cNvPr>
            <xdr:cNvSpPr txBox="1"/>
          </xdr:nvSpPr>
          <xdr:spPr>
            <a:xfrm>
              <a:off x="12473741725" y="10909127"/>
              <a:ext cx="919368" cy="2857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fld id="{9419DC98-E70C-4352-B713-B7B07F97CD4B}" type="TxLink">
                <a:rPr lang="en-US" sz="1600" b="0" i="0" u="none" strike="noStrike">
                  <a:solidFill>
                    <a:srgbClr val="46AAC2"/>
                  </a:solidFill>
                  <a:latin typeface="Century Gothic" panose="020B0502020202020204" pitchFamily="34" charset="0"/>
                  <a:cs typeface="B Nazanin"/>
                </a:rPr>
                <a:pPr algn="ctr" rtl="1"/>
                <a:t>352.84</a:t>
              </a:fld>
              <a:endParaRPr lang="fa-IR" sz="1400" b="0">
                <a:solidFill>
                  <a:srgbClr val="46AAC2"/>
                </a:solidFill>
                <a:latin typeface="Century Gothic" panose="020B0502020202020204" pitchFamily="34" charset="0"/>
              </a:endParaRPr>
            </a:p>
          </xdr:txBody>
        </xdr:sp>
      </xdr:grpSp>
      <xdr:grpSp>
        <xdr:nvGrpSpPr>
          <xdr:cNvPr id="88" name="Group 87">
            <a:extLst>
              <a:ext uri="{FF2B5EF4-FFF2-40B4-BE49-F238E27FC236}">
                <a16:creationId xmlns:a16="http://schemas.microsoft.com/office/drawing/2014/main" id="{00000000-0008-0000-0300-000058000000}"/>
              </a:ext>
            </a:extLst>
          </xdr:cNvPr>
          <xdr:cNvGrpSpPr/>
        </xdr:nvGrpSpPr>
        <xdr:grpSpPr>
          <a:xfrm>
            <a:off x="12481883086" y="10836495"/>
            <a:ext cx="1170212" cy="418135"/>
            <a:chOff x="12481883086" y="10836495"/>
            <a:chExt cx="1170212" cy="418135"/>
          </a:xfrm>
        </xdr:grpSpPr>
        <xdr:pic>
          <xdr:nvPicPr>
            <xdr:cNvPr id="238" name="Picture 237">
              <a:extLst>
                <a:ext uri="{FF2B5EF4-FFF2-40B4-BE49-F238E27FC236}">
                  <a16:creationId xmlns:a16="http://schemas.microsoft.com/office/drawing/2014/main" id="{00000000-0008-0000-0300-0000EE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7" cstate="print">
              <a:duotone>
                <a:schemeClr val="accent5">
                  <a:shade val="45000"/>
                  <a:satMod val="135000"/>
                </a:scheme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2482621498" y="10836495"/>
              <a:ext cx="431800" cy="418135"/>
            </a:xfrm>
            <a:prstGeom prst="rect">
              <a:avLst/>
            </a:prstGeom>
          </xdr:spPr>
        </xdr:pic>
        <xdr:sp macro="" textlink="calc!D128">
          <xdr:nvSpPr>
            <xdr:cNvPr id="239" name="TextBox 238">
              <a:extLst>
                <a:ext uri="{FF2B5EF4-FFF2-40B4-BE49-F238E27FC236}">
                  <a16:creationId xmlns:a16="http://schemas.microsoft.com/office/drawing/2014/main" id="{00000000-0008-0000-0300-0000EF000000}"/>
                </a:ext>
              </a:extLst>
            </xdr:cNvPr>
            <xdr:cNvSpPr txBox="1"/>
          </xdr:nvSpPr>
          <xdr:spPr>
            <a:xfrm>
              <a:off x="12481883086" y="10942672"/>
              <a:ext cx="922385" cy="2857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fld id="{0D3C95DA-306C-48A3-8BC0-38F56373C005}" type="TxLink">
                <a:rPr lang="en-US" sz="1600" b="0" i="0" u="none" strike="noStrike">
                  <a:solidFill>
                    <a:srgbClr val="46AAC2"/>
                  </a:solidFill>
                  <a:latin typeface="Century Gothic" panose="020B0502020202020204" pitchFamily="34" charset="0"/>
                  <a:cs typeface="B Nazanin"/>
                </a:rPr>
                <a:pPr algn="ctr" rtl="1"/>
                <a:t>0</a:t>
              </a:fld>
              <a:endParaRPr lang="fa-IR" sz="1400" b="0">
                <a:solidFill>
                  <a:srgbClr val="46AAC2"/>
                </a:solidFill>
                <a:latin typeface="Century Gothic" panose="020B0502020202020204" pitchFamily="34" charset="0"/>
              </a:endParaRPr>
            </a:p>
          </xdr:txBody>
        </xdr:sp>
      </xdr:grpSp>
    </xdr:grpSp>
    <xdr:clientData/>
  </xdr:twoCellAnchor>
  <xdr:twoCellAnchor>
    <xdr:from>
      <xdr:col>0</xdr:col>
      <xdr:colOff>0</xdr:colOff>
      <xdr:row>37</xdr:row>
      <xdr:rowOff>148291</xdr:rowOff>
    </xdr:from>
    <xdr:to>
      <xdr:col>13</xdr:col>
      <xdr:colOff>718068</xdr:colOff>
      <xdr:row>48</xdr:row>
      <xdr:rowOff>276834</xdr:rowOff>
    </xdr:to>
    <xdr:grpSp>
      <xdr:nvGrpSpPr>
        <xdr:cNvPr id="114" name="Group 113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GrpSpPr/>
      </xdr:nvGrpSpPr>
      <xdr:grpSpPr>
        <a:xfrm>
          <a:off x="12473323986" y="10721041"/>
          <a:ext cx="9902889" cy="3271793"/>
          <a:chOff x="12473294678" y="14845366"/>
          <a:chExt cx="9902889" cy="3271793"/>
        </a:xfrm>
      </xdr:grpSpPr>
      <xdr:grpSp>
        <xdr:nvGrpSpPr>
          <xdr:cNvPr id="182" name="Group 181">
            <a:extLst>
              <a:ext uri="{FF2B5EF4-FFF2-40B4-BE49-F238E27FC236}">
                <a16:creationId xmlns:a16="http://schemas.microsoft.com/office/drawing/2014/main" id="{00000000-0008-0000-0300-0000B6000000}"/>
              </a:ext>
            </a:extLst>
          </xdr:cNvPr>
          <xdr:cNvGrpSpPr/>
        </xdr:nvGrpSpPr>
        <xdr:grpSpPr>
          <a:xfrm>
            <a:off x="12473294678" y="14885122"/>
            <a:ext cx="9884019" cy="3232037"/>
            <a:chOff x="12477797625" y="946497"/>
            <a:chExt cx="6766246" cy="4468170"/>
          </a:xfrm>
        </xdr:grpSpPr>
        <xdr:sp macro="" textlink="">
          <xdr:nvSpPr>
            <xdr:cNvPr id="183" name="Isosceles Triangle 182">
              <a:extLst>
                <a:ext uri="{FF2B5EF4-FFF2-40B4-BE49-F238E27FC236}">
                  <a16:creationId xmlns:a16="http://schemas.microsoft.com/office/drawing/2014/main" id="{00000000-0008-0000-0300-0000B7000000}"/>
                </a:ext>
              </a:extLst>
            </xdr:cNvPr>
            <xdr:cNvSpPr/>
          </xdr:nvSpPr>
          <xdr:spPr>
            <a:xfrm>
              <a:off x="12479631187" y="952766"/>
              <a:ext cx="78960" cy="70434"/>
            </a:xfrm>
            <a:prstGeom prst="triangle">
              <a:avLst/>
            </a:prstGeom>
            <a:solidFill>
              <a:srgbClr val="3DA1B9"/>
            </a:solidFill>
            <a:ln>
              <a:solidFill>
                <a:srgbClr val="3DA1B9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1" anchor="t"/>
            <a:lstStyle/>
            <a:p>
              <a:pPr algn="r" rtl="1"/>
              <a:endParaRPr lang="fa-IR" sz="1100"/>
            </a:p>
          </xdr:txBody>
        </xdr:sp>
        <xdr:sp macro="" textlink="">
          <xdr:nvSpPr>
            <xdr:cNvPr id="184" name="Isosceles Triangle 183">
              <a:extLst>
                <a:ext uri="{FF2B5EF4-FFF2-40B4-BE49-F238E27FC236}">
                  <a16:creationId xmlns:a16="http://schemas.microsoft.com/office/drawing/2014/main" id="{00000000-0008-0000-0300-0000B8000000}"/>
                </a:ext>
              </a:extLst>
            </xdr:cNvPr>
            <xdr:cNvSpPr/>
          </xdr:nvSpPr>
          <xdr:spPr>
            <a:xfrm>
              <a:off x="12483093525" y="952766"/>
              <a:ext cx="78960" cy="70434"/>
            </a:xfrm>
            <a:prstGeom prst="triangle">
              <a:avLst/>
            </a:prstGeom>
            <a:solidFill>
              <a:srgbClr val="3DA1B9"/>
            </a:solidFill>
            <a:ln>
              <a:solidFill>
                <a:srgbClr val="3DA1B9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1" anchor="t"/>
            <a:lstStyle/>
            <a:p>
              <a:pPr algn="r" rtl="1"/>
              <a:endParaRPr lang="fa-IR" sz="1100"/>
            </a:p>
          </xdr:txBody>
        </xdr:sp>
        <xdr:sp macro="" textlink="">
          <xdr:nvSpPr>
            <xdr:cNvPr id="185" name="Rectangle: Rounded Corners 184">
              <a:extLst>
                <a:ext uri="{FF2B5EF4-FFF2-40B4-BE49-F238E27FC236}">
                  <a16:creationId xmlns:a16="http://schemas.microsoft.com/office/drawing/2014/main" id="{00000000-0008-0000-0300-0000B9000000}"/>
                </a:ext>
              </a:extLst>
            </xdr:cNvPr>
            <xdr:cNvSpPr/>
          </xdr:nvSpPr>
          <xdr:spPr>
            <a:xfrm>
              <a:off x="12477797625" y="985102"/>
              <a:ext cx="6766246" cy="4429565"/>
            </a:xfrm>
            <a:prstGeom prst="roundRect">
              <a:avLst>
                <a:gd name="adj" fmla="val 2221"/>
              </a:avLst>
            </a:prstGeom>
            <a:solidFill>
              <a:schemeClr val="bg1"/>
            </a:solidFill>
            <a:ln w="6350">
              <a:solidFill>
                <a:srgbClr val="46AAC2"/>
              </a:solidFill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1" anchor="t"/>
            <a:lstStyle/>
            <a:p>
              <a:pPr algn="r" rtl="1"/>
              <a:endParaRPr lang="fa-IR" sz="1100"/>
            </a:p>
          </xdr:txBody>
        </xdr:sp>
        <xdr:sp macro="" textlink="">
          <xdr:nvSpPr>
            <xdr:cNvPr id="186" name="Trapezoid 185">
              <a:extLst>
                <a:ext uri="{FF2B5EF4-FFF2-40B4-BE49-F238E27FC236}">
                  <a16:creationId xmlns:a16="http://schemas.microsoft.com/office/drawing/2014/main" id="{00000000-0008-0000-0300-0000BA000000}"/>
                </a:ext>
              </a:extLst>
            </xdr:cNvPr>
            <xdr:cNvSpPr/>
          </xdr:nvSpPr>
          <xdr:spPr>
            <a:xfrm rot="10800000">
              <a:off x="12479678061" y="946497"/>
              <a:ext cx="3448050" cy="287093"/>
            </a:xfrm>
            <a:prstGeom prst="trapezoid">
              <a:avLst/>
            </a:prstGeom>
            <a:solidFill>
              <a:srgbClr val="46AAC2"/>
            </a:solidFill>
            <a:ln>
              <a:solidFill>
                <a:srgbClr val="46AAC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1" anchor="t"/>
            <a:lstStyle/>
            <a:p>
              <a:pPr algn="r" rtl="1"/>
              <a:endParaRPr lang="fa-IR" sz="1100"/>
            </a:p>
          </xdr:txBody>
        </xdr:sp>
      </xdr:grpSp>
      <xdr:pic>
        <xdr:nvPicPr>
          <xdr:cNvPr id="158" name="Picture 157" descr="Exhausted, knackered, overwork, sleeping, table, tired, working icon -  Download on Iconfinder">
            <a:extLst>
              <a:ext uri="{FF2B5EF4-FFF2-40B4-BE49-F238E27FC236}">
                <a16:creationId xmlns:a16="http://schemas.microsoft.com/office/drawing/2014/main" id="{00000000-0008-0000-0300-00009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78052079" y="15220950"/>
            <a:ext cx="638176" cy="63817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aphicFrame macro="">
        <xdr:nvGraphicFramePr>
          <xdr:cNvPr id="180" name="Chart 179">
            <a:extLst>
              <a:ext uri="{FF2B5EF4-FFF2-40B4-BE49-F238E27FC236}">
                <a16:creationId xmlns:a16="http://schemas.microsoft.com/office/drawing/2014/main" id="{00000000-0008-0000-0300-0000B4000000}"/>
              </a:ext>
            </a:extLst>
          </xdr:cNvPr>
          <xdr:cNvGraphicFramePr>
            <a:graphicFrameLocks/>
          </xdr:cNvGraphicFramePr>
        </xdr:nvGraphicFramePr>
        <xdr:xfrm>
          <a:off x="12473299610" y="15821025"/>
          <a:ext cx="5047744" cy="199852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5"/>
          </a:graphicData>
        </a:graphic>
      </xdr:graphicFrame>
      <xdr:graphicFrame macro="">
        <xdr:nvGraphicFramePr>
          <xdr:cNvPr id="181" name="Chart 180">
            <a:extLst>
              <a:ext uri="{FF2B5EF4-FFF2-40B4-BE49-F238E27FC236}">
                <a16:creationId xmlns:a16="http://schemas.microsoft.com/office/drawing/2014/main" id="{00000000-0008-0000-0300-0000B5000000}"/>
              </a:ext>
            </a:extLst>
          </xdr:cNvPr>
          <xdr:cNvGraphicFramePr>
            <a:graphicFrameLocks/>
          </xdr:cNvGraphicFramePr>
        </xdr:nvGraphicFramePr>
        <xdr:xfrm>
          <a:off x="12478371307" y="15849599"/>
          <a:ext cx="4826260" cy="19621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6"/>
          </a:graphicData>
        </a:graphic>
      </xdr:graphicFrame>
      <xdr:cxnSp macro="">
        <xdr:nvCxnSpPr>
          <xdr:cNvPr id="187" name="Straight Connector 186">
            <a:extLst>
              <a:ext uri="{FF2B5EF4-FFF2-40B4-BE49-F238E27FC236}">
                <a16:creationId xmlns:a16="http://schemas.microsoft.com/office/drawing/2014/main" id="{00000000-0008-0000-0300-0000BB000000}"/>
              </a:ext>
            </a:extLst>
          </xdr:cNvPr>
          <xdr:cNvCxnSpPr/>
        </xdr:nvCxnSpPr>
        <xdr:spPr>
          <a:xfrm>
            <a:off x="12478364939" y="15936201"/>
            <a:ext cx="0" cy="2139461"/>
          </a:xfrm>
          <a:prstGeom prst="line">
            <a:avLst/>
          </a:prstGeom>
          <a:ln w="12700" cap="flat" cmpd="sng" algn="ctr">
            <a:solidFill>
              <a:srgbClr val="FFC000"/>
            </a:solidFill>
            <a:prstDash val="dash"/>
            <a:round/>
            <a:headEnd type="none" w="med" len="med"/>
            <a:tailEnd type="none" w="med" len="med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</xdr:cxnSp>
      <xdr:sp macro="" textlink="">
        <xdr:nvSpPr>
          <xdr:cNvPr id="190" name="TextBox 189">
            <a:extLst>
              <a:ext uri="{FF2B5EF4-FFF2-40B4-BE49-F238E27FC236}">
                <a16:creationId xmlns:a16="http://schemas.microsoft.com/office/drawing/2014/main" id="{00000000-0008-0000-0300-0000BE000000}"/>
              </a:ext>
            </a:extLst>
          </xdr:cNvPr>
          <xdr:cNvSpPr txBox="1"/>
        </xdr:nvSpPr>
        <xdr:spPr>
          <a:xfrm>
            <a:off x="12476877574" y="14845366"/>
            <a:ext cx="3055327" cy="3004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ctr"/>
          <a:lstStyle/>
          <a:p>
            <a:pPr algn="ctr" rtl="1"/>
            <a:r>
              <a:rPr lang="fa-IR" sz="1300" baseline="0">
                <a:solidFill>
                  <a:schemeClr val="bg1"/>
                </a:solidFill>
                <a:effectLst>
                  <a:outerShdw blurRad="50800" dist="38100" dir="8100000" algn="tr" rotWithShape="0">
                    <a:prstClr val="black">
                      <a:alpha val="40000"/>
                    </a:prstClr>
                  </a:outerShdw>
                </a:effectLst>
                <a:latin typeface="B titr"/>
                <a:cs typeface="B Titr" panose="00000700000000000000" pitchFamily="2" charset="-78"/>
              </a:rPr>
              <a:t>شـب کــاری</a:t>
            </a:r>
            <a:endParaRPr lang="fa-IR" sz="1300">
              <a:solidFill>
                <a:schemeClr val="bg1"/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B titr"/>
              <a:cs typeface="B Titr" panose="00000700000000000000" pitchFamily="2" charset="-78"/>
            </a:endParaRPr>
          </a:p>
        </xdr:txBody>
      </xdr:sp>
      <xdr:grpSp>
        <xdr:nvGrpSpPr>
          <xdr:cNvPr id="191" name="Group 190">
            <a:extLst>
              <a:ext uri="{FF2B5EF4-FFF2-40B4-BE49-F238E27FC236}">
                <a16:creationId xmlns:a16="http://schemas.microsoft.com/office/drawing/2014/main" id="{00000000-0008-0000-0300-0000BF000000}"/>
              </a:ext>
            </a:extLst>
          </xdr:cNvPr>
          <xdr:cNvGrpSpPr/>
        </xdr:nvGrpSpPr>
        <xdr:grpSpPr>
          <a:xfrm>
            <a:off x="12473395821" y="17756001"/>
            <a:ext cx="4903174" cy="314012"/>
            <a:chOff x="12478442150" y="892510"/>
            <a:chExt cx="2482850" cy="326712"/>
          </a:xfrm>
        </xdr:grpSpPr>
        <xdr:grpSp>
          <xdr:nvGrpSpPr>
            <xdr:cNvPr id="192" name="Group 191">
              <a:extLst>
                <a:ext uri="{FF2B5EF4-FFF2-40B4-BE49-F238E27FC236}">
                  <a16:creationId xmlns:a16="http://schemas.microsoft.com/office/drawing/2014/main" id="{00000000-0008-0000-0300-0000C0000000}"/>
                </a:ext>
              </a:extLst>
            </xdr:cNvPr>
            <xdr:cNvGrpSpPr/>
          </xdr:nvGrpSpPr>
          <xdr:grpSpPr>
            <a:xfrm>
              <a:off x="12478442150" y="964612"/>
              <a:ext cx="2482850" cy="254610"/>
              <a:chOff x="12482150550" y="965200"/>
              <a:chExt cx="2482850" cy="254000"/>
            </a:xfrm>
          </xdr:grpSpPr>
          <xdr:sp macro="" textlink="">
            <xdr:nvSpPr>
              <xdr:cNvPr id="194" name="Rectangle 193">
                <a:extLst>
                  <a:ext uri="{FF2B5EF4-FFF2-40B4-BE49-F238E27FC236}">
                    <a16:creationId xmlns:a16="http://schemas.microsoft.com/office/drawing/2014/main" id="{00000000-0008-0000-0300-0000C2000000}"/>
                  </a:ext>
                </a:extLst>
              </xdr:cNvPr>
              <xdr:cNvSpPr/>
            </xdr:nvSpPr>
            <xdr:spPr>
              <a:xfrm>
                <a:off x="12482150550" y="965200"/>
                <a:ext cx="2482850" cy="196850"/>
              </a:xfrm>
              <a:prstGeom prst="rect">
                <a:avLst/>
              </a:prstGeom>
              <a:solidFill>
                <a:srgbClr val="3DA1B9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1" anchor="t"/>
              <a:lstStyle/>
              <a:p>
                <a:pPr algn="r" rtl="1"/>
                <a:endParaRPr lang="fa-IR" sz="1100">
                  <a:solidFill>
                    <a:srgbClr val="2D82AD"/>
                  </a:solidFill>
                </a:endParaRPr>
              </a:p>
            </xdr:txBody>
          </xdr:sp>
          <xdr:sp macro="" textlink="">
            <xdr:nvSpPr>
              <xdr:cNvPr id="195" name="Rectangle 194">
                <a:extLst>
                  <a:ext uri="{FF2B5EF4-FFF2-40B4-BE49-F238E27FC236}">
                    <a16:creationId xmlns:a16="http://schemas.microsoft.com/office/drawing/2014/main" id="{00000000-0008-0000-0300-0000C3000000}"/>
                  </a:ext>
                </a:extLst>
              </xdr:cNvPr>
              <xdr:cNvSpPr/>
            </xdr:nvSpPr>
            <xdr:spPr>
              <a:xfrm>
                <a:off x="12482150550" y="1162050"/>
                <a:ext cx="2482850" cy="57150"/>
              </a:xfrm>
              <a:prstGeom prst="rect">
                <a:avLst/>
              </a:prstGeom>
              <a:solidFill>
                <a:srgbClr val="FBB403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1" anchor="t"/>
              <a:lstStyle/>
              <a:p>
                <a:pPr algn="r" rtl="1"/>
                <a:endParaRPr lang="fa-IR" sz="1100"/>
              </a:p>
            </xdr:txBody>
          </xdr:sp>
        </xdr:grpSp>
        <xdr:sp macro="" textlink="">
          <xdr:nvSpPr>
            <xdr:cNvPr id="193" name="TextBox 192">
              <a:extLst>
                <a:ext uri="{FF2B5EF4-FFF2-40B4-BE49-F238E27FC236}">
                  <a16:creationId xmlns:a16="http://schemas.microsoft.com/office/drawing/2014/main" id="{00000000-0008-0000-0300-0000C1000000}"/>
                </a:ext>
              </a:extLst>
            </xdr:cNvPr>
            <xdr:cNvSpPr txBox="1"/>
          </xdr:nvSpPr>
          <xdr:spPr>
            <a:xfrm>
              <a:off x="12478593082" y="892510"/>
              <a:ext cx="2154118" cy="31445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r>
                <a:rPr lang="fa-IR" sz="1050" baseline="0">
                  <a:solidFill>
                    <a:schemeClr val="bg1"/>
                  </a:solidFill>
                  <a:effectLst>
                    <a:outerShdw blurRad="50800" dist="38100" dir="8100000" algn="tr" rotWithShape="0">
                      <a:prstClr val="black">
                        <a:alpha val="40000"/>
                      </a:prstClr>
                    </a:outerShdw>
                  </a:effectLst>
                  <a:latin typeface="Tahoma" panose="020B0604030504040204" pitchFamily="34" charset="0"/>
                  <a:ea typeface="Tahoma" panose="020B0604030504040204" pitchFamily="34" charset="0"/>
                  <a:cs typeface="B Titr" panose="00000700000000000000" pitchFamily="2" charset="-78"/>
                </a:rPr>
                <a:t> بندرعباس</a:t>
              </a:r>
              <a:endParaRPr lang="fa-IR" sz="1050">
                <a:solidFill>
                  <a:schemeClr val="bg1"/>
                </a:solidFill>
                <a:effectLst>
                  <a:outerShdw blurRad="50800" dist="38100" dir="8100000" algn="tr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B Titr" panose="00000700000000000000" pitchFamily="2" charset="-78"/>
              </a:endParaRPr>
            </a:p>
          </xdr:txBody>
        </xdr:sp>
      </xdr:grpSp>
      <xdr:grpSp>
        <xdr:nvGrpSpPr>
          <xdr:cNvPr id="196" name="Group 195">
            <a:extLst>
              <a:ext uri="{FF2B5EF4-FFF2-40B4-BE49-F238E27FC236}">
                <a16:creationId xmlns:a16="http://schemas.microsoft.com/office/drawing/2014/main" id="{00000000-0008-0000-0300-0000C4000000}"/>
              </a:ext>
            </a:extLst>
          </xdr:cNvPr>
          <xdr:cNvGrpSpPr/>
        </xdr:nvGrpSpPr>
        <xdr:grpSpPr>
          <a:xfrm>
            <a:off x="12478460189" y="17756002"/>
            <a:ext cx="4674577" cy="314012"/>
            <a:chOff x="12478442150" y="892510"/>
            <a:chExt cx="2482850" cy="326712"/>
          </a:xfrm>
        </xdr:grpSpPr>
        <xdr:grpSp>
          <xdr:nvGrpSpPr>
            <xdr:cNvPr id="197" name="Group 196">
              <a:extLst>
                <a:ext uri="{FF2B5EF4-FFF2-40B4-BE49-F238E27FC236}">
                  <a16:creationId xmlns:a16="http://schemas.microsoft.com/office/drawing/2014/main" id="{00000000-0008-0000-0300-0000C5000000}"/>
                </a:ext>
              </a:extLst>
            </xdr:cNvPr>
            <xdr:cNvGrpSpPr/>
          </xdr:nvGrpSpPr>
          <xdr:grpSpPr>
            <a:xfrm>
              <a:off x="12478442150" y="964612"/>
              <a:ext cx="2482850" cy="254610"/>
              <a:chOff x="12482150550" y="965200"/>
              <a:chExt cx="2482850" cy="254000"/>
            </a:xfrm>
          </xdr:grpSpPr>
          <xdr:sp macro="" textlink="">
            <xdr:nvSpPr>
              <xdr:cNvPr id="199" name="Rectangle 198">
                <a:extLst>
                  <a:ext uri="{FF2B5EF4-FFF2-40B4-BE49-F238E27FC236}">
                    <a16:creationId xmlns:a16="http://schemas.microsoft.com/office/drawing/2014/main" id="{00000000-0008-0000-0300-0000C7000000}"/>
                  </a:ext>
                </a:extLst>
              </xdr:cNvPr>
              <xdr:cNvSpPr/>
            </xdr:nvSpPr>
            <xdr:spPr>
              <a:xfrm>
                <a:off x="12482150550" y="965200"/>
                <a:ext cx="2482850" cy="196850"/>
              </a:xfrm>
              <a:prstGeom prst="rect">
                <a:avLst/>
              </a:prstGeom>
              <a:solidFill>
                <a:srgbClr val="3DA1B9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1" anchor="t"/>
              <a:lstStyle/>
              <a:p>
                <a:pPr algn="r" rtl="1"/>
                <a:endParaRPr lang="fa-IR" sz="1100">
                  <a:solidFill>
                    <a:srgbClr val="2D82AD"/>
                  </a:solidFill>
                </a:endParaRPr>
              </a:p>
            </xdr:txBody>
          </xdr:sp>
          <xdr:sp macro="" textlink="">
            <xdr:nvSpPr>
              <xdr:cNvPr id="200" name="Rectangle 199">
                <a:extLst>
                  <a:ext uri="{FF2B5EF4-FFF2-40B4-BE49-F238E27FC236}">
                    <a16:creationId xmlns:a16="http://schemas.microsoft.com/office/drawing/2014/main" id="{00000000-0008-0000-0300-0000C8000000}"/>
                  </a:ext>
                </a:extLst>
              </xdr:cNvPr>
              <xdr:cNvSpPr/>
            </xdr:nvSpPr>
            <xdr:spPr>
              <a:xfrm>
                <a:off x="12482150550" y="1162050"/>
                <a:ext cx="2482850" cy="57150"/>
              </a:xfrm>
              <a:prstGeom prst="rect">
                <a:avLst/>
              </a:prstGeom>
              <a:solidFill>
                <a:srgbClr val="FBB403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1" anchor="t"/>
              <a:lstStyle/>
              <a:p>
                <a:pPr algn="r" rtl="1"/>
                <a:endParaRPr lang="fa-IR" sz="1100"/>
              </a:p>
            </xdr:txBody>
          </xdr:sp>
        </xdr:grpSp>
        <xdr:sp macro="" textlink="">
          <xdr:nvSpPr>
            <xdr:cNvPr id="198" name="TextBox 197">
              <a:extLst>
                <a:ext uri="{FF2B5EF4-FFF2-40B4-BE49-F238E27FC236}">
                  <a16:creationId xmlns:a16="http://schemas.microsoft.com/office/drawing/2014/main" id="{00000000-0008-0000-0300-0000C6000000}"/>
                </a:ext>
              </a:extLst>
            </xdr:cNvPr>
            <xdr:cNvSpPr txBox="1"/>
          </xdr:nvSpPr>
          <xdr:spPr>
            <a:xfrm>
              <a:off x="12478593082" y="892510"/>
              <a:ext cx="2154118" cy="31445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r>
                <a:rPr lang="fa-IR" sz="1050" baseline="0">
                  <a:solidFill>
                    <a:schemeClr val="bg1"/>
                  </a:solidFill>
                  <a:effectLst>
                    <a:outerShdw blurRad="50800" dist="38100" dir="8100000" algn="tr" rotWithShape="0">
                      <a:prstClr val="black">
                        <a:alpha val="40000"/>
                      </a:prstClr>
                    </a:outerShdw>
                  </a:effectLst>
                  <a:latin typeface="Tahoma" panose="020B0604030504040204" pitchFamily="34" charset="0"/>
                  <a:ea typeface="Tahoma" panose="020B0604030504040204" pitchFamily="34" charset="0"/>
                  <a:cs typeface="B Titr" panose="00000700000000000000" pitchFamily="2" charset="-78"/>
                </a:rPr>
                <a:t>دفتر مرکزی</a:t>
              </a:r>
              <a:endParaRPr lang="fa-IR" sz="1050">
                <a:solidFill>
                  <a:schemeClr val="bg1"/>
                </a:solidFill>
                <a:effectLst>
                  <a:outerShdw blurRad="50800" dist="38100" dir="8100000" algn="tr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B Titr" panose="00000700000000000000" pitchFamily="2" charset="-78"/>
              </a:endParaRPr>
            </a:p>
          </xdr:txBody>
        </xdr:sp>
      </xdr:grpSp>
      <xdr:grpSp>
        <xdr:nvGrpSpPr>
          <xdr:cNvPr id="104" name="Group 103">
            <a:extLst>
              <a:ext uri="{FF2B5EF4-FFF2-40B4-BE49-F238E27FC236}">
                <a16:creationId xmlns:a16="http://schemas.microsoft.com/office/drawing/2014/main" id="{00000000-0008-0000-0300-000068000000}"/>
              </a:ext>
            </a:extLst>
          </xdr:cNvPr>
          <xdr:cNvGrpSpPr/>
        </xdr:nvGrpSpPr>
        <xdr:grpSpPr>
          <a:xfrm>
            <a:off x="12473416161" y="15243273"/>
            <a:ext cx="1449014" cy="559404"/>
            <a:chOff x="12473416161" y="15243273"/>
            <a:chExt cx="1449014" cy="559404"/>
          </a:xfrm>
        </xdr:grpSpPr>
        <xdr:sp macro="" textlink="">
          <xdr:nvSpPr>
            <xdr:cNvPr id="201" name="TextBox 200">
              <a:extLst>
                <a:ext uri="{FF2B5EF4-FFF2-40B4-BE49-F238E27FC236}">
                  <a16:creationId xmlns:a16="http://schemas.microsoft.com/office/drawing/2014/main" id="{00000000-0008-0000-0300-0000C9000000}"/>
                </a:ext>
              </a:extLst>
            </xdr:cNvPr>
            <xdr:cNvSpPr txBox="1"/>
          </xdr:nvSpPr>
          <xdr:spPr>
            <a:xfrm>
              <a:off x="12473416161" y="15243273"/>
              <a:ext cx="380512" cy="53356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r>
                <a:rPr lang="fa-IR" sz="3600">
                  <a:solidFill>
                    <a:srgbClr val="019BA7"/>
                  </a:solidFill>
                  <a:effectLst>
                    <a:outerShdw blurRad="50800" dist="38100" dir="8100000" algn="tr" rotWithShape="0">
                      <a:prstClr val="black">
                        <a:alpha val="40000"/>
                      </a:prstClr>
                    </a:outerShdw>
                  </a:effectLst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  <a:sym typeface="Webdings" panose="05030102010509060703" pitchFamily="18" charset="2"/>
                </a:rPr>
                <a:t></a:t>
              </a:r>
              <a:endParaRPr lang="fa-IR" sz="3600">
                <a:solidFill>
                  <a:srgbClr val="019BA7"/>
                </a:solidFill>
                <a:effectLst>
                  <a:outerShdw blurRad="50800" dist="38100" dir="8100000" algn="tr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  <xdr:sp macro="" textlink="calc!F154">
          <xdr:nvSpPr>
            <xdr:cNvPr id="202" name="TextBox 201">
              <a:extLst>
                <a:ext uri="{FF2B5EF4-FFF2-40B4-BE49-F238E27FC236}">
                  <a16:creationId xmlns:a16="http://schemas.microsoft.com/office/drawing/2014/main" id="{00000000-0008-0000-0300-0000CA000000}"/>
                </a:ext>
              </a:extLst>
            </xdr:cNvPr>
            <xdr:cNvSpPr txBox="1"/>
          </xdr:nvSpPr>
          <xdr:spPr>
            <a:xfrm>
              <a:off x="12473758810" y="15420255"/>
              <a:ext cx="1106365" cy="31505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fld id="{B9414E82-980D-46A6-B9A5-2151DC3E1860}" type="TxLink">
                <a:rPr lang="en-US" sz="1400" b="1" i="0" u="none" strike="noStrike">
                  <a:solidFill>
                    <a:srgbClr val="3DA1B9"/>
                  </a:solidFill>
                  <a:latin typeface="Agency FB" panose="020B0503020202020204" pitchFamily="34" charset="0"/>
                  <a:cs typeface="B Nazanin"/>
                </a:rPr>
                <a:pPr algn="ctr" rtl="1"/>
                <a:t>24,410,936</a:t>
              </a:fld>
              <a:endParaRPr lang="fa-IR" sz="1100" b="1">
                <a:solidFill>
                  <a:srgbClr val="3DA1B9"/>
                </a:solidFill>
                <a:latin typeface="Agency FB" panose="020B0503020202020204" pitchFamily="34" charset="0"/>
              </a:endParaRPr>
            </a:p>
          </xdr:txBody>
        </xdr:sp>
        <mc:AlternateContent xmlns:mc="http://schemas.openxmlformats.org/markup-compatibility/2006" xmlns:a14="http://schemas.microsoft.com/office/drawing/2010/main">
          <mc:Choice Requires="a14">
            <xdr:sp macro="" textlink="">
              <xdr:nvSpPr>
                <xdr:cNvPr id="203" name="TextBox 202">
                  <a:extLst>
                    <a:ext uri="{FF2B5EF4-FFF2-40B4-BE49-F238E27FC236}">
                      <a16:creationId xmlns:a16="http://schemas.microsoft.com/office/drawing/2014/main" id="{00000000-0008-0000-0300-0000CB000000}"/>
                    </a:ext>
                  </a:extLst>
                </xdr:cNvPr>
                <xdr:cNvSpPr txBox="1"/>
              </xdr:nvSpPr>
              <xdr:spPr>
                <a:xfrm flipH="1">
                  <a:off x="12473725007" y="15392757"/>
                  <a:ext cx="319068" cy="409920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lIns="0" tIns="0" rIns="0" bIns="0" rtlCol="1" anchor="t">
                  <a:spAutoFit/>
                </a:bodyPr>
                <a:lstStyle/>
                <a:p>
                  <a:pPr algn="r" rtl="1"/>
                  <a14:m>
                    <m:oMathPara xmlns:m="http://schemas.openxmlformats.org/officeDocument/2006/math">
                      <m:oMathParaPr>
                        <m:jc m:val="centerGroup"/>
                      </m:oMathParaPr>
                      <m:oMath xmlns:m="http://schemas.openxmlformats.org/officeDocument/2006/math"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fa-IR" sz="1100" i="1">
                                <a:solidFill>
                                  <a:srgbClr val="3DA1B9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/>
                        </m:nary>
                      </m:oMath>
                    </m:oMathPara>
                  </a14:m>
                  <a:endParaRPr lang="fa-IR" sz="1100">
                    <a:solidFill>
                      <a:srgbClr val="3DA1B9"/>
                    </a:solidFill>
                  </a:endParaRPr>
                </a:p>
              </xdr:txBody>
            </xdr:sp>
          </mc:Choice>
          <mc:Fallback xmlns="">
            <xdr:sp macro="" textlink="">
              <xdr:nvSpPr>
                <xdr:cNvPr id="203" name="TextBox 202">
                  <a:extLst>
                    <a:ext uri="{FF2B5EF4-FFF2-40B4-BE49-F238E27FC236}">
                      <a16:creationId xmlns:a16="http://schemas.microsoft.com/office/drawing/2014/main" id="{00000000-0008-0000-0300-0000CB000000}"/>
                    </a:ext>
                  </a:extLst>
                </xdr:cNvPr>
                <xdr:cNvSpPr txBox="1"/>
              </xdr:nvSpPr>
              <xdr:spPr>
                <a:xfrm flipH="1">
                  <a:off x="12473725007" y="15392757"/>
                  <a:ext cx="319068" cy="409920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lIns="0" tIns="0" rIns="0" bIns="0" rtlCol="1" anchor="t">
                  <a:spAutoFit/>
                </a:bodyPr>
                <a:lstStyle/>
                <a:p>
                  <a:pPr algn="r" rtl="1"/>
                  <a:r>
                    <a:rPr lang="fa-IR" sz="1100" i="0">
                      <a:solidFill>
                        <a:srgbClr val="3DA1B9"/>
                      </a:solidFill>
                      <a:latin typeface="Cambria Math" panose="02040503050406030204" pitchFamily="18" charset="0"/>
                    </a:rPr>
                    <a:t>∑</a:t>
                  </a:r>
                  <a:endParaRPr lang="fa-IR" sz="1100">
                    <a:solidFill>
                      <a:srgbClr val="3DA1B9"/>
                    </a:solidFill>
                  </a:endParaRPr>
                </a:p>
              </xdr:txBody>
            </xdr:sp>
          </mc:Fallback>
        </mc:AlternateContent>
      </xdr:grpSp>
      <xdr:grpSp>
        <xdr:nvGrpSpPr>
          <xdr:cNvPr id="105" name="Group 104">
            <a:extLst>
              <a:ext uri="{FF2B5EF4-FFF2-40B4-BE49-F238E27FC236}">
                <a16:creationId xmlns:a16="http://schemas.microsoft.com/office/drawing/2014/main" id="{00000000-0008-0000-0300-000069000000}"/>
              </a:ext>
            </a:extLst>
          </xdr:cNvPr>
          <xdr:cNvGrpSpPr/>
        </xdr:nvGrpSpPr>
        <xdr:grpSpPr>
          <a:xfrm>
            <a:off x="12481692876" y="15254997"/>
            <a:ext cx="1415360" cy="538155"/>
            <a:chOff x="12481692876" y="15254997"/>
            <a:chExt cx="1415360" cy="538155"/>
          </a:xfrm>
        </xdr:grpSpPr>
        <xdr:sp macro="" textlink="">
          <xdr:nvSpPr>
            <xdr:cNvPr id="204" name="TextBox 203">
              <a:extLst>
                <a:ext uri="{FF2B5EF4-FFF2-40B4-BE49-F238E27FC236}">
                  <a16:creationId xmlns:a16="http://schemas.microsoft.com/office/drawing/2014/main" id="{00000000-0008-0000-0300-0000CC000000}"/>
                </a:ext>
              </a:extLst>
            </xdr:cNvPr>
            <xdr:cNvSpPr txBox="1"/>
          </xdr:nvSpPr>
          <xdr:spPr>
            <a:xfrm>
              <a:off x="12482727724" y="15254997"/>
              <a:ext cx="380512" cy="53356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r>
                <a:rPr lang="fa-IR" sz="3600">
                  <a:solidFill>
                    <a:srgbClr val="019BA7"/>
                  </a:solidFill>
                  <a:effectLst>
                    <a:outerShdw blurRad="50800" dist="38100" dir="8100000" algn="tr" rotWithShape="0">
                      <a:prstClr val="black">
                        <a:alpha val="40000"/>
                      </a:prstClr>
                    </a:outerShdw>
                  </a:effectLst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  <a:sym typeface="Webdings" panose="05030102010509060703" pitchFamily="18" charset="2"/>
                </a:rPr>
                <a:t></a:t>
              </a:r>
              <a:endParaRPr lang="fa-IR" sz="3600">
                <a:solidFill>
                  <a:srgbClr val="019BA7"/>
                </a:solidFill>
                <a:effectLst>
                  <a:outerShdw blurRad="50800" dist="38100" dir="8100000" algn="tr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  <xdr:sp macro="" textlink="calc!F167">
          <xdr:nvSpPr>
            <xdr:cNvPr id="205" name="TextBox 204">
              <a:extLst>
                <a:ext uri="{FF2B5EF4-FFF2-40B4-BE49-F238E27FC236}">
                  <a16:creationId xmlns:a16="http://schemas.microsoft.com/office/drawing/2014/main" id="{00000000-0008-0000-0300-0000CD000000}"/>
                </a:ext>
              </a:extLst>
            </xdr:cNvPr>
            <xdr:cNvSpPr txBox="1"/>
          </xdr:nvSpPr>
          <xdr:spPr>
            <a:xfrm>
              <a:off x="12481701832" y="15427582"/>
              <a:ext cx="1106365" cy="31505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fld id="{E52BD445-D82F-48AD-97D3-5EBF73C9A00B}" type="TxLink">
                <a:rPr lang="en-US" sz="1400" b="1" i="0" u="none" strike="noStrike">
                  <a:solidFill>
                    <a:srgbClr val="3DA1B9"/>
                  </a:solidFill>
                  <a:latin typeface="Agency FB" panose="020B0503020202020204" pitchFamily="34" charset="0"/>
                  <a:cs typeface="B Nazanin"/>
                </a:rPr>
                <a:pPr algn="ctr" rtl="1"/>
                <a:t>0</a:t>
              </a:fld>
              <a:endParaRPr lang="fa-IR" sz="1100" b="1">
                <a:solidFill>
                  <a:srgbClr val="3DA1B9"/>
                </a:solidFill>
                <a:latin typeface="Agency FB" panose="020B0503020202020204" pitchFamily="34" charset="0"/>
              </a:endParaRPr>
            </a:p>
          </xdr:txBody>
        </xdr:sp>
        <mc:AlternateContent xmlns:mc="http://schemas.openxmlformats.org/markup-compatibility/2006" xmlns:a14="http://schemas.microsoft.com/office/drawing/2010/main">
          <mc:Choice Requires="a14">
            <xdr:sp macro="" textlink="">
              <xdr:nvSpPr>
                <xdr:cNvPr id="206" name="TextBox 205">
                  <a:extLst>
                    <a:ext uri="{FF2B5EF4-FFF2-40B4-BE49-F238E27FC236}">
                      <a16:creationId xmlns:a16="http://schemas.microsoft.com/office/drawing/2014/main" id="{00000000-0008-0000-0300-0000CE000000}"/>
                    </a:ext>
                  </a:extLst>
                </xdr:cNvPr>
                <xdr:cNvSpPr txBox="1"/>
              </xdr:nvSpPr>
              <xdr:spPr>
                <a:xfrm flipH="1">
                  <a:off x="12481692876" y="15383232"/>
                  <a:ext cx="319068" cy="409920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lIns="0" tIns="0" rIns="0" bIns="0" rtlCol="1" anchor="t">
                  <a:spAutoFit/>
                </a:bodyPr>
                <a:lstStyle/>
                <a:p>
                  <a:pPr algn="r" rtl="1"/>
                  <a14:m>
                    <m:oMathPara xmlns:m="http://schemas.openxmlformats.org/officeDocument/2006/math">
                      <m:oMathParaPr>
                        <m:jc m:val="centerGroup"/>
                      </m:oMathParaPr>
                      <m:oMath xmlns:m="http://schemas.openxmlformats.org/officeDocument/2006/math"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fa-IR" sz="1100" i="1">
                                <a:solidFill>
                                  <a:srgbClr val="3DA1B9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/>
                        </m:nary>
                      </m:oMath>
                    </m:oMathPara>
                  </a14:m>
                  <a:endParaRPr lang="fa-IR" sz="1100">
                    <a:solidFill>
                      <a:srgbClr val="3DA1B9"/>
                    </a:solidFill>
                  </a:endParaRPr>
                </a:p>
              </xdr:txBody>
            </xdr:sp>
          </mc:Choice>
          <mc:Fallback xmlns="">
            <xdr:sp macro="" textlink="">
              <xdr:nvSpPr>
                <xdr:cNvPr id="206" name="TextBox 205">
                  <a:extLst>
                    <a:ext uri="{FF2B5EF4-FFF2-40B4-BE49-F238E27FC236}">
                      <a16:creationId xmlns:a16="http://schemas.microsoft.com/office/drawing/2014/main" id="{00000000-0008-0000-0300-0000CE000000}"/>
                    </a:ext>
                  </a:extLst>
                </xdr:cNvPr>
                <xdr:cNvSpPr txBox="1"/>
              </xdr:nvSpPr>
              <xdr:spPr>
                <a:xfrm flipH="1">
                  <a:off x="12481692876" y="15383232"/>
                  <a:ext cx="319068" cy="409920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lIns="0" tIns="0" rIns="0" bIns="0" rtlCol="1" anchor="t">
                  <a:spAutoFit/>
                </a:bodyPr>
                <a:lstStyle/>
                <a:p>
                  <a:pPr algn="r" rtl="1"/>
                  <a:r>
                    <a:rPr lang="fa-IR" sz="1100" i="0">
                      <a:solidFill>
                        <a:srgbClr val="3DA1B9"/>
                      </a:solidFill>
                      <a:latin typeface="Cambria Math" panose="02040503050406030204" pitchFamily="18" charset="0"/>
                    </a:rPr>
                    <a:t>∑</a:t>
                  </a:r>
                  <a:endParaRPr lang="fa-IR" sz="1100">
                    <a:solidFill>
                      <a:srgbClr val="3DA1B9"/>
                    </a:solidFill>
                  </a:endParaRPr>
                </a:p>
              </xdr:txBody>
            </xdr:sp>
          </mc:Fallback>
        </mc:AlternateContent>
      </xdr:grpSp>
      <xdr:grpSp>
        <xdr:nvGrpSpPr>
          <xdr:cNvPr id="97" name="Group 96">
            <a:extLst>
              <a:ext uri="{FF2B5EF4-FFF2-40B4-BE49-F238E27FC236}">
                <a16:creationId xmlns:a16="http://schemas.microsoft.com/office/drawing/2014/main" id="{00000000-0008-0000-0300-000061000000}"/>
              </a:ext>
            </a:extLst>
          </xdr:cNvPr>
          <xdr:cNvGrpSpPr/>
        </xdr:nvGrpSpPr>
        <xdr:grpSpPr>
          <a:xfrm>
            <a:off x="12473422984" y="14937653"/>
            <a:ext cx="1238109" cy="415816"/>
            <a:chOff x="12473422984" y="14937653"/>
            <a:chExt cx="1238109" cy="415816"/>
          </a:xfrm>
        </xdr:grpSpPr>
        <xdr:pic>
          <xdr:nvPicPr>
            <xdr:cNvPr id="240" name="Picture 239">
              <a:extLst>
                <a:ext uri="{FF2B5EF4-FFF2-40B4-BE49-F238E27FC236}">
                  <a16:creationId xmlns:a16="http://schemas.microsoft.com/office/drawing/2014/main" id="{00000000-0008-0000-0300-0000F0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7" cstate="print">
              <a:duotone>
                <a:schemeClr val="accent5">
                  <a:shade val="45000"/>
                  <a:satMod val="135000"/>
                </a:scheme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2473422984" y="14937653"/>
              <a:ext cx="431800" cy="415816"/>
            </a:xfrm>
            <a:prstGeom prst="rect">
              <a:avLst/>
            </a:prstGeom>
          </xdr:spPr>
        </xdr:pic>
        <xdr:sp macro="" textlink="calc!D154">
          <xdr:nvSpPr>
            <xdr:cNvPr id="241" name="TextBox 240">
              <a:extLst>
                <a:ext uri="{FF2B5EF4-FFF2-40B4-BE49-F238E27FC236}">
                  <a16:creationId xmlns:a16="http://schemas.microsoft.com/office/drawing/2014/main" id="{00000000-0008-0000-0300-0000F1000000}"/>
                </a:ext>
              </a:extLst>
            </xdr:cNvPr>
            <xdr:cNvSpPr txBox="1"/>
          </xdr:nvSpPr>
          <xdr:spPr>
            <a:xfrm>
              <a:off x="12473741725" y="15004877"/>
              <a:ext cx="919368" cy="2857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fld id="{2C358886-88D4-4E2A-A5F9-4485795221C2}" type="TxLink">
                <a:rPr lang="en-US" sz="1600" b="0" i="0" u="none" strike="noStrike">
                  <a:solidFill>
                    <a:srgbClr val="46AAC2"/>
                  </a:solidFill>
                  <a:latin typeface="Century Gothic" panose="020B0502020202020204" pitchFamily="34" charset="0"/>
                  <a:cs typeface="B Nazanin"/>
                </a:rPr>
                <a:pPr algn="ctr" rtl="1"/>
                <a:t>368</a:t>
              </a:fld>
              <a:endParaRPr lang="fa-IR" sz="1400" b="0">
                <a:solidFill>
                  <a:srgbClr val="46AAC2"/>
                </a:solidFill>
                <a:latin typeface="Century Gothic" panose="020B0502020202020204" pitchFamily="34" charset="0"/>
              </a:endParaRPr>
            </a:p>
          </xdr:txBody>
        </xdr:sp>
      </xdr:grpSp>
      <xdr:grpSp>
        <xdr:nvGrpSpPr>
          <xdr:cNvPr id="110" name="Group 109">
            <a:extLst>
              <a:ext uri="{FF2B5EF4-FFF2-40B4-BE49-F238E27FC236}">
                <a16:creationId xmlns:a16="http://schemas.microsoft.com/office/drawing/2014/main" id="{00000000-0008-0000-0300-00006E000000}"/>
              </a:ext>
            </a:extLst>
          </xdr:cNvPr>
          <xdr:cNvGrpSpPr/>
        </xdr:nvGrpSpPr>
        <xdr:grpSpPr>
          <a:xfrm>
            <a:off x="12481883086" y="14932245"/>
            <a:ext cx="1170212" cy="418135"/>
            <a:chOff x="12481883086" y="14932245"/>
            <a:chExt cx="1170212" cy="418135"/>
          </a:xfrm>
        </xdr:grpSpPr>
        <xdr:pic>
          <xdr:nvPicPr>
            <xdr:cNvPr id="242" name="Picture 241">
              <a:extLst>
                <a:ext uri="{FF2B5EF4-FFF2-40B4-BE49-F238E27FC236}">
                  <a16:creationId xmlns:a16="http://schemas.microsoft.com/office/drawing/2014/main" id="{00000000-0008-0000-0300-0000F2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7" cstate="print">
              <a:duotone>
                <a:schemeClr val="accent5">
                  <a:shade val="45000"/>
                  <a:satMod val="135000"/>
                </a:scheme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2482621498" y="14932245"/>
              <a:ext cx="431800" cy="418135"/>
            </a:xfrm>
            <a:prstGeom prst="rect">
              <a:avLst/>
            </a:prstGeom>
          </xdr:spPr>
        </xdr:pic>
        <xdr:sp macro="" textlink="calc!D167">
          <xdr:nvSpPr>
            <xdr:cNvPr id="243" name="TextBox 242">
              <a:extLst>
                <a:ext uri="{FF2B5EF4-FFF2-40B4-BE49-F238E27FC236}">
                  <a16:creationId xmlns:a16="http://schemas.microsoft.com/office/drawing/2014/main" id="{00000000-0008-0000-0300-0000F3000000}"/>
                </a:ext>
              </a:extLst>
            </xdr:cNvPr>
            <xdr:cNvSpPr txBox="1"/>
          </xdr:nvSpPr>
          <xdr:spPr>
            <a:xfrm>
              <a:off x="12481883086" y="15038422"/>
              <a:ext cx="922385" cy="2857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fld id="{2E6C4E9B-84DD-43A9-85DD-7145039B335A}" type="TxLink">
                <a:rPr lang="en-US" sz="1600" b="0" i="0" u="none" strike="noStrike">
                  <a:solidFill>
                    <a:srgbClr val="46AAC2"/>
                  </a:solidFill>
                  <a:latin typeface="Century Gothic" panose="020B0502020202020204" pitchFamily="34" charset="0"/>
                  <a:cs typeface="B Nazanin"/>
                </a:rPr>
                <a:pPr algn="ctr" rtl="1"/>
                <a:t>0</a:t>
              </a:fld>
              <a:endParaRPr lang="fa-IR" sz="1400" b="0">
                <a:solidFill>
                  <a:srgbClr val="46AAC2"/>
                </a:solidFill>
                <a:latin typeface="Century Gothic" panose="020B0502020202020204" pitchFamily="34" charset="0"/>
              </a:endParaRPr>
            </a:p>
          </xdr:txBody>
        </xdr:sp>
      </xdr:grpSp>
    </xdr:grpSp>
    <xdr:clientData/>
  </xdr:twoCellAnchor>
  <xdr:twoCellAnchor>
    <xdr:from>
      <xdr:col>1</xdr:col>
      <xdr:colOff>7357</xdr:colOff>
      <xdr:row>61</xdr:row>
      <xdr:rowOff>280621</xdr:rowOff>
    </xdr:from>
    <xdr:to>
      <xdr:col>13</xdr:col>
      <xdr:colOff>758444</xdr:colOff>
      <xdr:row>73</xdr:row>
      <xdr:rowOff>267289</xdr:rowOff>
    </xdr:to>
    <xdr:grpSp>
      <xdr:nvGrpSpPr>
        <xdr:cNvPr id="32" name="Group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GrpSpPr/>
      </xdr:nvGrpSpPr>
      <xdr:grpSpPr>
        <a:xfrm>
          <a:off x="12473283610" y="17711371"/>
          <a:ext cx="9895087" cy="3415668"/>
          <a:chOff x="12473283610" y="652096"/>
          <a:chExt cx="9895087" cy="3415668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GrpSpPr/>
        </xdr:nvGrpSpPr>
        <xdr:grpSpPr>
          <a:xfrm>
            <a:off x="12473294678" y="718038"/>
            <a:ext cx="9884019" cy="3232037"/>
            <a:chOff x="12477797625" y="946497"/>
            <a:chExt cx="6766246" cy="4468170"/>
          </a:xfrm>
        </xdr:grpSpPr>
        <xdr:sp macro="" textlink="">
          <xdr:nvSpPr>
            <xdr:cNvPr id="9" name="Isosceles Triangle 8">
              <a:extLst>
                <a:ext uri="{FF2B5EF4-FFF2-40B4-BE49-F238E27FC236}">
                  <a16:creationId xmlns:a16="http://schemas.microsoft.com/office/drawing/2014/main" id="{00000000-0008-0000-0300-000009000000}"/>
                </a:ext>
              </a:extLst>
            </xdr:cNvPr>
            <xdr:cNvSpPr/>
          </xdr:nvSpPr>
          <xdr:spPr>
            <a:xfrm>
              <a:off x="12479631187" y="952766"/>
              <a:ext cx="78960" cy="70434"/>
            </a:xfrm>
            <a:prstGeom prst="triangle">
              <a:avLst/>
            </a:prstGeom>
            <a:solidFill>
              <a:srgbClr val="3DA1B9"/>
            </a:solidFill>
            <a:ln>
              <a:solidFill>
                <a:srgbClr val="3DA1B9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1" anchor="t"/>
            <a:lstStyle/>
            <a:p>
              <a:pPr algn="r" rtl="1"/>
              <a:endParaRPr lang="fa-IR" sz="1100"/>
            </a:p>
          </xdr:txBody>
        </xdr:sp>
        <xdr:sp macro="" textlink="">
          <xdr:nvSpPr>
            <xdr:cNvPr id="8" name="Isosceles Triangle 7">
              <a:extLst>
                <a:ext uri="{FF2B5EF4-FFF2-40B4-BE49-F238E27FC236}">
                  <a16:creationId xmlns:a16="http://schemas.microsoft.com/office/drawing/2014/main" id="{00000000-0008-0000-0300-000008000000}"/>
                </a:ext>
              </a:extLst>
            </xdr:cNvPr>
            <xdr:cNvSpPr/>
          </xdr:nvSpPr>
          <xdr:spPr>
            <a:xfrm>
              <a:off x="12483093525" y="952766"/>
              <a:ext cx="78960" cy="70434"/>
            </a:xfrm>
            <a:prstGeom prst="triangle">
              <a:avLst/>
            </a:prstGeom>
            <a:solidFill>
              <a:srgbClr val="3DA1B9"/>
            </a:solidFill>
            <a:ln>
              <a:solidFill>
                <a:srgbClr val="3DA1B9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1" anchor="t"/>
            <a:lstStyle/>
            <a:p>
              <a:pPr algn="r" rtl="1"/>
              <a:endParaRPr lang="fa-IR" sz="1100"/>
            </a:p>
          </xdr:txBody>
        </xdr:sp>
        <xdr:sp macro="" textlink="">
          <xdr:nvSpPr>
            <xdr:cNvPr id="5" name="Rectangle: Rounded Corners 4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SpPr/>
          </xdr:nvSpPr>
          <xdr:spPr>
            <a:xfrm>
              <a:off x="12477797625" y="985102"/>
              <a:ext cx="6766246" cy="4429565"/>
            </a:xfrm>
            <a:prstGeom prst="roundRect">
              <a:avLst>
                <a:gd name="adj" fmla="val 2221"/>
              </a:avLst>
            </a:prstGeom>
            <a:solidFill>
              <a:schemeClr val="bg1"/>
            </a:solidFill>
            <a:ln w="6350">
              <a:solidFill>
                <a:srgbClr val="46AAC2"/>
              </a:solidFill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1" anchor="t"/>
            <a:lstStyle/>
            <a:p>
              <a:pPr algn="r" rtl="1"/>
              <a:endParaRPr lang="fa-IR" sz="1100"/>
            </a:p>
          </xdr:txBody>
        </xdr:sp>
        <xdr:sp macro="" textlink="">
          <xdr:nvSpPr>
            <xdr:cNvPr id="7" name="Trapezoid 6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/>
          </xdr:nvSpPr>
          <xdr:spPr>
            <a:xfrm rot="10800000">
              <a:off x="12479678061" y="946497"/>
              <a:ext cx="3448050" cy="287093"/>
            </a:xfrm>
            <a:prstGeom prst="trapezoid">
              <a:avLst/>
            </a:prstGeom>
            <a:solidFill>
              <a:srgbClr val="46AAC2"/>
            </a:solidFill>
            <a:ln>
              <a:solidFill>
                <a:srgbClr val="46AAC2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1" anchor="t"/>
            <a:lstStyle/>
            <a:p>
              <a:pPr algn="r" rtl="1"/>
              <a:endParaRPr lang="fa-IR" sz="1100"/>
            </a:p>
          </xdr:txBody>
        </xdr:sp>
      </xdr:grp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SpPr txBox="1"/>
        </xdr:nvSpPr>
        <xdr:spPr>
          <a:xfrm>
            <a:off x="12476877574" y="652096"/>
            <a:ext cx="3055327" cy="3004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ctr"/>
          <a:lstStyle/>
          <a:p>
            <a:pPr algn="ctr" rtl="1"/>
            <a:r>
              <a:rPr lang="fa-IR" sz="1300" baseline="0">
                <a:solidFill>
                  <a:schemeClr val="bg1"/>
                </a:solidFill>
                <a:effectLst>
                  <a:outerShdw blurRad="50800" dist="38100" dir="8100000" algn="tr" rotWithShape="0">
                    <a:prstClr val="black">
                      <a:alpha val="40000"/>
                    </a:prstClr>
                  </a:outerShdw>
                </a:effectLst>
                <a:latin typeface="B titr"/>
                <a:cs typeface="B Titr" panose="00000700000000000000" pitchFamily="2" charset="-78"/>
              </a:rPr>
              <a:t>خالـص پرداختـی</a:t>
            </a:r>
            <a:endParaRPr lang="fa-IR" sz="1300">
              <a:solidFill>
                <a:schemeClr val="bg1"/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latin typeface="B titr"/>
              <a:cs typeface="B Titr" panose="00000700000000000000" pitchFamily="2" charset="-78"/>
            </a:endParaRPr>
          </a:p>
        </xdr:txBody>
      </xdr:sp>
      <xdr:graphicFrame macro="">
        <xdr:nvGraphicFramePr>
          <xdr:cNvPr id="12" name="Chart 1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GraphicFramePr>
            <a:graphicFrameLocks/>
          </xdr:cNvGraphicFramePr>
        </xdr:nvGraphicFramePr>
        <xdr:xfrm>
          <a:off x="12473283610" y="1423362"/>
          <a:ext cx="3672728" cy="264440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7"/>
          </a:graphicData>
        </a:graphic>
      </xdr:graphicFrame>
      <xdr:grpSp>
        <xdr:nvGrpSpPr>
          <xdr:cNvPr id="13" name="Group 12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GrpSpPr/>
        </xdr:nvGrpSpPr>
        <xdr:grpSpPr>
          <a:xfrm>
            <a:off x="12477993277" y="964406"/>
            <a:ext cx="833911" cy="811831"/>
            <a:chOff x="12481134421" y="917437"/>
            <a:chExt cx="833911" cy="837231"/>
          </a:xfrm>
        </xdr:grpSpPr>
        <xdr:pic>
          <xdr:nvPicPr>
            <xdr:cNvPr id="14" name="Picture 13">
              <a:extLst>
                <a:ext uri="{FF2B5EF4-FFF2-40B4-BE49-F238E27FC236}">
                  <a16:creationId xmlns:a16="http://schemas.microsoft.com/office/drawing/2014/main" id="{00000000-0008-0000-0300-00000E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8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7282" t="52818" r="8769" b="16561"/>
            <a:stretch/>
          </xdr:blipFill>
          <xdr:spPr>
            <a:xfrm>
              <a:off x="12481134421" y="1532177"/>
              <a:ext cx="246674" cy="222491"/>
            </a:xfrm>
            <a:prstGeom prst="rect">
              <a:avLst/>
            </a:prstGeom>
          </xdr:spPr>
        </xdr:pic>
        <xdr:pic>
          <xdr:nvPicPr>
            <xdr:cNvPr id="15" name="Picture 14">
              <a:extLst>
                <a:ext uri="{FF2B5EF4-FFF2-40B4-BE49-F238E27FC236}">
                  <a16:creationId xmlns:a16="http://schemas.microsoft.com/office/drawing/2014/main" id="{00000000-0008-0000-0300-00000F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8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7282" t="52818" r="8769" b="16561"/>
            <a:stretch/>
          </xdr:blipFill>
          <xdr:spPr>
            <a:xfrm flipH="1">
              <a:off x="12481648771" y="1532177"/>
              <a:ext cx="246674" cy="222491"/>
            </a:xfrm>
            <a:prstGeom prst="rect">
              <a:avLst/>
            </a:prstGeom>
          </xdr:spPr>
        </xdr:pic>
        <xdr:cxnSp macro="">
          <xdr:nvCxnSpPr>
            <xdr:cNvPr id="16" name="Straight Connector 15">
              <a:extLst>
                <a:ext uri="{FF2B5EF4-FFF2-40B4-BE49-F238E27FC236}">
                  <a16:creationId xmlns:a16="http://schemas.microsoft.com/office/drawing/2014/main" id="{00000000-0008-0000-0300-000010000000}"/>
                </a:ext>
              </a:extLst>
            </xdr:cNvPr>
            <xdr:cNvCxnSpPr/>
          </xdr:nvCxnSpPr>
          <xdr:spPr>
            <a:xfrm>
              <a:off x="12481509200" y="1225550"/>
              <a:ext cx="0" cy="457200"/>
            </a:xfrm>
            <a:prstGeom prst="line">
              <a:avLst/>
            </a:prstGeom>
            <a:ln w="57150">
              <a:solidFill>
                <a:srgbClr val="FBB403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" name="Straight Connector 16">
              <a:extLst>
                <a:ext uri="{FF2B5EF4-FFF2-40B4-BE49-F238E27FC236}">
                  <a16:creationId xmlns:a16="http://schemas.microsoft.com/office/drawing/2014/main" id="{00000000-0008-0000-0300-000011000000}"/>
                </a:ext>
              </a:extLst>
            </xdr:cNvPr>
            <xdr:cNvCxnSpPr/>
          </xdr:nvCxnSpPr>
          <xdr:spPr>
            <a:xfrm>
              <a:off x="12481382200" y="1663700"/>
              <a:ext cx="266700" cy="0"/>
            </a:xfrm>
            <a:prstGeom prst="line">
              <a:avLst/>
            </a:prstGeom>
            <a:ln w="57150">
              <a:solidFill>
                <a:srgbClr val="FBB403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pic>
          <xdr:nvPicPr>
            <xdr:cNvPr id="18" name="Picture 17">
              <a:extLst>
                <a:ext uri="{FF2B5EF4-FFF2-40B4-BE49-F238E27FC236}">
                  <a16:creationId xmlns:a16="http://schemas.microsoft.com/office/drawing/2014/main" id="{00000000-0008-0000-0300-000012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2481178532" y="917437"/>
              <a:ext cx="789800" cy="577850"/>
            </a:xfrm>
            <a:prstGeom prst="rect">
              <a:avLst/>
            </a:prstGeom>
          </xdr:spPr>
        </xdr:pic>
      </xdr:grpSp>
      <xdr:graphicFrame macro="">
        <xdr:nvGraphicFramePr>
          <xdr:cNvPr id="19" name="Chart 18"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GraphicFramePr>
            <a:graphicFrameLocks/>
          </xdr:cNvGraphicFramePr>
        </xdr:nvGraphicFramePr>
        <xdr:xfrm>
          <a:off x="12477142521" y="1011116"/>
          <a:ext cx="760822" cy="256097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0"/>
          </a:graphicData>
        </a:graphic>
      </xdr:graphicFrame>
      <xdr:graphicFrame macro="">
        <xdr:nvGraphicFramePr>
          <xdr:cNvPr id="20" name="Chart 19"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GraphicFramePr>
            <a:graphicFrameLocks/>
          </xdr:cNvGraphicFramePr>
        </xdr:nvGraphicFramePr>
        <xdr:xfrm>
          <a:off x="12478855841" y="1047751"/>
          <a:ext cx="754674" cy="246239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1"/>
          </a:graphicData>
        </a:graphic>
      </xdr:graphicFrame>
      <xdr:sp macro="" textlink="calc!F41">
        <xdr:nvSpPr>
          <xdr:cNvPr id="21" name="TextBox 20">
            <a:extLst>
              <a:ext uri="{FF2B5EF4-FFF2-40B4-BE49-F238E27FC236}">
                <a16:creationId xmlns:a16="http://schemas.microsoft.com/office/drawing/2014/main" id="{00000000-0008-0000-0300-000015000000}"/>
              </a:ext>
            </a:extLst>
          </xdr:cNvPr>
          <xdr:cNvSpPr txBox="1">
            <a:spLocks/>
          </xdr:cNvSpPr>
        </xdr:nvSpPr>
        <xdr:spPr>
          <a:xfrm rot="16200000">
            <a:off x="12476419168" y="2128300"/>
            <a:ext cx="1552377" cy="358431"/>
          </a:xfrm>
          <a:prstGeom prst="rect">
            <a:avLst/>
          </a:prstGeom>
          <a:noFill/>
          <a:ln w="9525" cmpd="sng">
            <a:noFill/>
          </a:ln>
          <a:effectLst>
            <a:outerShdw blurRad="44450" dist="27940" dir="5400000" algn="ctr">
              <a:srgbClr val="000000">
                <a:alpha val="32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8700000"/>
            </a:lightRig>
          </a:scene3d>
          <a:sp3d>
            <a:bevelT w="190500" h="38100"/>
          </a:sp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>
            <a:noAutofit/>
          </a:bodyPr>
          <a:lstStyle/>
          <a:p>
            <a:pPr algn="ctr" rtl="1"/>
            <a:fld id="{8895F093-49CD-4EBD-88E0-FEB25369D9B1}" type="TxLink">
              <a:rPr lang="en-US" sz="1400" b="1" i="0" u="none" strike="noStrike">
                <a:solidFill>
                  <a:srgbClr val="46AAC2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pPr algn="ctr" rtl="1"/>
              <a:t>1,415,543,539</a:t>
            </a:fld>
            <a:endParaRPr lang="fa-IR" sz="1100" b="1">
              <a:solidFill>
                <a:srgbClr val="46AAC2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calc!F42">
        <xdr:nvSpPr>
          <xdr:cNvPr id="22" name="TextBox 21">
            <a:extLst>
              <a:ext uri="{FF2B5EF4-FFF2-40B4-BE49-F238E27FC236}">
                <a16:creationId xmlns:a16="http://schemas.microsoft.com/office/drawing/2014/main" id="{00000000-0008-0000-0300-000016000000}"/>
              </a:ext>
            </a:extLst>
          </xdr:cNvPr>
          <xdr:cNvSpPr txBox="1">
            <a:spLocks/>
          </xdr:cNvSpPr>
        </xdr:nvSpPr>
        <xdr:spPr>
          <a:xfrm rot="16200000">
            <a:off x="12478833738" y="2098560"/>
            <a:ext cx="1485900" cy="358431"/>
          </a:xfrm>
          <a:prstGeom prst="rect">
            <a:avLst/>
          </a:prstGeom>
          <a:noFill/>
          <a:ln w="9525" cmpd="sng">
            <a:noFill/>
          </a:ln>
          <a:effectLst>
            <a:outerShdw blurRad="50800" dist="38100" dir="5400000" algn="t" rotWithShape="0">
              <a:prstClr val="black">
                <a:alpha val="40000"/>
              </a:prst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>
            <a:noAutofit/>
          </a:bodyPr>
          <a:lstStyle/>
          <a:p>
            <a:pPr algn="ctr" rtl="1"/>
            <a:fld id="{B62EB066-35F0-41B4-873F-2FDD948D2C55}" type="TxLink">
              <a:rPr lang="en-US" sz="1400" b="1" i="0" u="none" strike="noStrike">
                <a:solidFill>
                  <a:srgbClr val="46AAC2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pPr algn="ctr" rtl="1"/>
              <a:t>473,285,395</a:t>
            </a:fld>
            <a:endParaRPr lang="fa-IR" sz="1100" b="1">
              <a:solidFill>
                <a:srgbClr val="46AAC2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23" name="Arrow: Chevron 22">
            <a:extLst>
              <a:ext uri="{FF2B5EF4-FFF2-40B4-BE49-F238E27FC236}">
                <a16:creationId xmlns:a16="http://schemas.microsoft.com/office/drawing/2014/main" id="{00000000-0008-0000-0300-000017000000}"/>
              </a:ext>
            </a:extLst>
          </xdr:cNvPr>
          <xdr:cNvSpPr/>
        </xdr:nvSpPr>
        <xdr:spPr>
          <a:xfrm flipH="1">
            <a:off x="12476885935" y="2222644"/>
            <a:ext cx="114300" cy="134097"/>
          </a:xfrm>
          <a:prstGeom prst="chevron">
            <a:avLst>
              <a:gd name="adj" fmla="val 39499"/>
            </a:avLst>
          </a:prstGeom>
          <a:solidFill>
            <a:srgbClr val="FBB403"/>
          </a:solidFill>
          <a:ln>
            <a:noFill/>
          </a:ln>
          <a:effectLst>
            <a:outerShdw blurRad="50800" dist="38100" dir="8100000" algn="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1" anchor="t"/>
          <a:lstStyle/>
          <a:p>
            <a:pPr algn="r" rtl="1"/>
            <a:endParaRPr lang="fa-IR" sz="1100">
              <a:solidFill>
                <a:schemeClr val="tx1"/>
              </a:solidFill>
            </a:endParaRPr>
          </a:p>
        </xdr:txBody>
      </xdr:sp>
      <xdr:sp macro="" textlink="">
        <xdr:nvSpPr>
          <xdr:cNvPr id="25" name="Arrow: Chevron 24">
            <a:extLst>
              <a:ext uri="{FF2B5EF4-FFF2-40B4-BE49-F238E27FC236}">
                <a16:creationId xmlns:a16="http://schemas.microsoft.com/office/drawing/2014/main" id="{00000000-0008-0000-0300-000019000000}"/>
              </a:ext>
            </a:extLst>
          </xdr:cNvPr>
          <xdr:cNvSpPr/>
        </xdr:nvSpPr>
        <xdr:spPr>
          <a:xfrm>
            <a:off x="12479736841" y="2265140"/>
            <a:ext cx="114300" cy="134097"/>
          </a:xfrm>
          <a:prstGeom prst="chevron">
            <a:avLst>
              <a:gd name="adj" fmla="val 39499"/>
            </a:avLst>
          </a:prstGeom>
          <a:solidFill>
            <a:srgbClr val="FBB403"/>
          </a:solidFill>
          <a:ln>
            <a:noFill/>
          </a:ln>
          <a:effectLst>
            <a:outerShdw blurRad="50800" dist="38100" dir="8100000" algn="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1" anchor="t"/>
          <a:lstStyle/>
          <a:p>
            <a:pPr algn="r" rtl="1"/>
            <a:endParaRPr lang="fa-IR" sz="1100">
              <a:solidFill>
                <a:schemeClr val="tx1"/>
              </a:solidFill>
            </a:endParaRPr>
          </a:p>
        </xdr:txBody>
      </xdr:sp>
      <xdr:graphicFrame macro="">
        <xdr:nvGraphicFramePr>
          <xdr:cNvPr id="91" name="Chart 90">
            <a:extLst>
              <a:ext uri="{FF2B5EF4-FFF2-40B4-BE49-F238E27FC236}">
                <a16:creationId xmlns:a16="http://schemas.microsoft.com/office/drawing/2014/main" id="{00000000-0008-0000-0300-00005B000000}"/>
              </a:ext>
            </a:extLst>
          </xdr:cNvPr>
          <xdr:cNvGraphicFramePr>
            <a:graphicFrameLocks/>
          </xdr:cNvGraphicFramePr>
        </xdr:nvGraphicFramePr>
        <xdr:xfrm>
          <a:off x="12480379841" y="1421423"/>
          <a:ext cx="2439868" cy="234461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2"/>
          </a:graphicData>
        </a:graphic>
      </xdr:graphicFrame>
      <xdr:grpSp>
        <xdr:nvGrpSpPr>
          <xdr:cNvPr id="37" name="Group 36">
            <a:extLst>
              <a:ext uri="{FF2B5EF4-FFF2-40B4-BE49-F238E27FC236}">
                <a16:creationId xmlns:a16="http://schemas.microsoft.com/office/drawing/2014/main" id="{00000000-0008-0000-0300-000025000000}"/>
              </a:ext>
            </a:extLst>
          </xdr:cNvPr>
          <xdr:cNvGrpSpPr/>
        </xdr:nvGrpSpPr>
        <xdr:grpSpPr>
          <a:xfrm>
            <a:off x="12480030897" y="905332"/>
            <a:ext cx="3107531" cy="2973684"/>
            <a:chOff x="12482150550" y="892510"/>
            <a:chExt cx="2482850" cy="3093953"/>
          </a:xfrm>
        </xdr:grpSpPr>
        <xdr:grpSp>
          <xdr:nvGrpSpPr>
            <xdr:cNvPr id="38" name="Group 37">
              <a:extLst>
                <a:ext uri="{FF2B5EF4-FFF2-40B4-BE49-F238E27FC236}">
                  <a16:creationId xmlns:a16="http://schemas.microsoft.com/office/drawing/2014/main" id="{00000000-0008-0000-0300-000026000000}"/>
                </a:ext>
              </a:extLst>
            </xdr:cNvPr>
            <xdr:cNvGrpSpPr/>
          </xdr:nvGrpSpPr>
          <xdr:grpSpPr>
            <a:xfrm>
              <a:off x="12482150550" y="964612"/>
              <a:ext cx="2482850" cy="3021851"/>
              <a:chOff x="12482150550" y="965200"/>
              <a:chExt cx="2482850" cy="3014611"/>
            </a:xfrm>
          </xdr:grpSpPr>
          <xdr:sp macro="" textlink="">
            <xdr:nvSpPr>
              <xdr:cNvPr id="40" name="Rectangle 39">
                <a:extLst>
                  <a:ext uri="{FF2B5EF4-FFF2-40B4-BE49-F238E27FC236}">
                    <a16:creationId xmlns:a16="http://schemas.microsoft.com/office/drawing/2014/main" id="{00000000-0008-0000-0300-000028000000}"/>
                  </a:ext>
                </a:extLst>
              </xdr:cNvPr>
              <xdr:cNvSpPr/>
            </xdr:nvSpPr>
            <xdr:spPr>
              <a:xfrm>
                <a:off x="12482150550" y="965200"/>
                <a:ext cx="2482850" cy="196850"/>
              </a:xfrm>
              <a:prstGeom prst="rect">
                <a:avLst/>
              </a:prstGeom>
              <a:solidFill>
                <a:srgbClr val="46AAC2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1" anchor="t"/>
              <a:lstStyle/>
              <a:p>
                <a:pPr algn="r" rtl="1"/>
                <a:endParaRPr lang="fa-IR" sz="1100"/>
              </a:p>
            </xdr:txBody>
          </xdr:sp>
          <xdr:sp macro="" textlink="">
            <xdr:nvSpPr>
              <xdr:cNvPr id="41" name="Rectangle 40">
                <a:extLst>
                  <a:ext uri="{FF2B5EF4-FFF2-40B4-BE49-F238E27FC236}">
                    <a16:creationId xmlns:a16="http://schemas.microsoft.com/office/drawing/2014/main" id="{00000000-0008-0000-0300-000029000000}"/>
                  </a:ext>
                </a:extLst>
              </xdr:cNvPr>
              <xdr:cNvSpPr/>
            </xdr:nvSpPr>
            <xdr:spPr>
              <a:xfrm>
                <a:off x="12482150550" y="1162050"/>
                <a:ext cx="2482850" cy="57150"/>
              </a:xfrm>
              <a:prstGeom prst="rect">
                <a:avLst/>
              </a:prstGeom>
              <a:solidFill>
                <a:srgbClr val="FBB403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1" anchor="t"/>
              <a:lstStyle/>
              <a:p>
                <a:pPr algn="r" rtl="1"/>
                <a:endParaRPr lang="fa-IR" sz="1100"/>
              </a:p>
            </xdr:txBody>
          </xdr:sp>
          <xdr:sp macro="" textlink="">
            <xdr:nvSpPr>
              <xdr:cNvPr id="69" name="Rectangle 68">
                <a:extLst>
                  <a:ext uri="{FF2B5EF4-FFF2-40B4-BE49-F238E27FC236}">
                    <a16:creationId xmlns:a16="http://schemas.microsoft.com/office/drawing/2014/main" id="{00000000-0008-0000-0300-000045000000}"/>
                  </a:ext>
                </a:extLst>
              </xdr:cNvPr>
              <xdr:cNvSpPr/>
            </xdr:nvSpPr>
            <xdr:spPr>
              <a:xfrm>
                <a:off x="12482150550" y="3922661"/>
                <a:ext cx="2482850" cy="57150"/>
              </a:xfrm>
              <a:prstGeom prst="rect">
                <a:avLst/>
              </a:prstGeom>
              <a:solidFill>
                <a:srgbClr val="FBB403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1" anchor="t"/>
              <a:lstStyle/>
              <a:p>
                <a:pPr algn="r" rtl="1"/>
                <a:endParaRPr lang="fa-IR" sz="1100"/>
              </a:p>
            </xdr:txBody>
          </xdr:sp>
        </xdr:grpSp>
        <xdr:sp macro="" textlink="">
          <xdr:nvSpPr>
            <xdr:cNvPr id="39" name="TextBox 38">
              <a:extLst>
                <a:ext uri="{FF2B5EF4-FFF2-40B4-BE49-F238E27FC236}">
                  <a16:creationId xmlns:a16="http://schemas.microsoft.com/office/drawing/2014/main" id="{00000000-0008-0000-0300-000027000000}"/>
                </a:ext>
              </a:extLst>
            </xdr:cNvPr>
            <xdr:cNvSpPr txBox="1"/>
          </xdr:nvSpPr>
          <xdr:spPr>
            <a:xfrm>
              <a:off x="12482288782" y="892510"/>
              <a:ext cx="2179518" cy="31445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r>
                <a:rPr lang="fa-IR" sz="1050" baseline="0">
                  <a:solidFill>
                    <a:schemeClr val="bg1"/>
                  </a:solidFill>
                  <a:effectLst>
                    <a:outerShdw blurRad="50800" dist="38100" dir="8100000" algn="tr" rotWithShape="0">
                      <a:prstClr val="black">
                        <a:alpha val="40000"/>
                      </a:prstClr>
                    </a:outerShdw>
                  </a:effectLst>
                  <a:latin typeface="Tahoma" panose="020B0604030504040204" pitchFamily="34" charset="0"/>
                  <a:ea typeface="Tahoma" panose="020B0604030504040204" pitchFamily="34" charset="0"/>
                  <a:cs typeface="B Titr" panose="00000700000000000000" pitchFamily="2" charset="-78"/>
                </a:rPr>
                <a:t>دفتر مرکزی</a:t>
              </a:r>
              <a:endParaRPr lang="fa-IR" sz="1050">
                <a:solidFill>
                  <a:schemeClr val="bg1"/>
                </a:solidFill>
                <a:effectLst>
                  <a:outerShdw blurRad="50800" dist="38100" dir="8100000" algn="tr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B Titr" panose="00000700000000000000" pitchFamily="2" charset="-78"/>
              </a:endParaRPr>
            </a:p>
          </xdr:txBody>
        </xdr:sp>
      </xdr:grpSp>
      <xdr:grpSp>
        <xdr:nvGrpSpPr>
          <xdr:cNvPr id="42" name="Group 41">
            <a:extLst>
              <a:ext uri="{FF2B5EF4-FFF2-40B4-BE49-F238E27FC236}">
                <a16:creationId xmlns:a16="http://schemas.microsoft.com/office/drawing/2014/main" id="{00000000-0008-0000-0300-00002A000000}"/>
              </a:ext>
            </a:extLst>
          </xdr:cNvPr>
          <xdr:cNvGrpSpPr/>
        </xdr:nvGrpSpPr>
        <xdr:grpSpPr>
          <a:xfrm>
            <a:off x="12473468719" y="940593"/>
            <a:ext cx="3293962" cy="2922395"/>
            <a:chOff x="12482149776" y="892510"/>
            <a:chExt cx="2483624" cy="3040589"/>
          </a:xfrm>
        </xdr:grpSpPr>
        <xdr:grpSp>
          <xdr:nvGrpSpPr>
            <xdr:cNvPr id="43" name="Group 42">
              <a:extLst>
                <a:ext uri="{FF2B5EF4-FFF2-40B4-BE49-F238E27FC236}">
                  <a16:creationId xmlns:a16="http://schemas.microsoft.com/office/drawing/2014/main" id="{00000000-0008-0000-0300-00002B000000}"/>
                </a:ext>
              </a:extLst>
            </xdr:cNvPr>
            <xdr:cNvGrpSpPr/>
          </xdr:nvGrpSpPr>
          <xdr:grpSpPr>
            <a:xfrm>
              <a:off x="12482149776" y="964609"/>
              <a:ext cx="2483624" cy="2968490"/>
              <a:chOff x="12482149776" y="965197"/>
              <a:chExt cx="2483624" cy="2961378"/>
            </a:xfrm>
          </xdr:grpSpPr>
          <xdr:sp macro="" textlink="">
            <xdr:nvSpPr>
              <xdr:cNvPr id="45" name="Rectangle 44">
                <a:extLst>
                  <a:ext uri="{FF2B5EF4-FFF2-40B4-BE49-F238E27FC236}">
                    <a16:creationId xmlns:a16="http://schemas.microsoft.com/office/drawing/2014/main" id="{00000000-0008-0000-0300-00002D000000}"/>
                  </a:ext>
                </a:extLst>
              </xdr:cNvPr>
              <xdr:cNvSpPr/>
            </xdr:nvSpPr>
            <xdr:spPr>
              <a:xfrm>
                <a:off x="12482149776" y="965197"/>
                <a:ext cx="2482850" cy="196850"/>
              </a:xfrm>
              <a:prstGeom prst="rect">
                <a:avLst/>
              </a:prstGeom>
              <a:solidFill>
                <a:srgbClr val="46AAC2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1" anchor="t"/>
              <a:lstStyle/>
              <a:p>
                <a:pPr algn="r" rtl="1"/>
                <a:endParaRPr lang="fa-IR" sz="1100"/>
              </a:p>
            </xdr:txBody>
          </xdr:sp>
          <xdr:sp macro="" textlink="">
            <xdr:nvSpPr>
              <xdr:cNvPr id="46" name="Rectangle 45">
                <a:extLst>
                  <a:ext uri="{FF2B5EF4-FFF2-40B4-BE49-F238E27FC236}">
                    <a16:creationId xmlns:a16="http://schemas.microsoft.com/office/drawing/2014/main" id="{00000000-0008-0000-0300-00002E000000}"/>
                  </a:ext>
                </a:extLst>
              </xdr:cNvPr>
              <xdr:cNvSpPr/>
            </xdr:nvSpPr>
            <xdr:spPr>
              <a:xfrm>
                <a:off x="12482150550" y="1162050"/>
                <a:ext cx="2482850" cy="57150"/>
              </a:xfrm>
              <a:prstGeom prst="rect">
                <a:avLst/>
              </a:prstGeom>
              <a:solidFill>
                <a:srgbClr val="FBB403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1" anchor="t"/>
              <a:lstStyle/>
              <a:p>
                <a:pPr algn="r" rtl="1"/>
                <a:endParaRPr lang="fa-IR" sz="1100"/>
              </a:p>
            </xdr:txBody>
          </xdr:sp>
          <xdr:sp macro="" textlink="">
            <xdr:nvSpPr>
              <xdr:cNvPr id="67" name="Rectangle 66">
                <a:extLst>
                  <a:ext uri="{FF2B5EF4-FFF2-40B4-BE49-F238E27FC236}">
                    <a16:creationId xmlns:a16="http://schemas.microsoft.com/office/drawing/2014/main" id="{00000000-0008-0000-0300-000043000000}"/>
                  </a:ext>
                </a:extLst>
              </xdr:cNvPr>
              <xdr:cNvSpPr/>
            </xdr:nvSpPr>
            <xdr:spPr>
              <a:xfrm>
                <a:off x="12482150550" y="3869425"/>
                <a:ext cx="2482850" cy="57150"/>
              </a:xfrm>
              <a:prstGeom prst="rect">
                <a:avLst/>
              </a:prstGeom>
              <a:solidFill>
                <a:srgbClr val="FBB403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1" anchor="t"/>
              <a:lstStyle/>
              <a:p>
                <a:pPr algn="r" rtl="1"/>
                <a:endParaRPr lang="fa-IR" sz="1100"/>
              </a:p>
            </xdr:txBody>
          </xdr:sp>
        </xdr:grpSp>
        <xdr:sp macro="" textlink="">
          <xdr:nvSpPr>
            <xdr:cNvPr id="44" name="TextBox 43">
              <a:extLst>
                <a:ext uri="{FF2B5EF4-FFF2-40B4-BE49-F238E27FC236}">
                  <a16:creationId xmlns:a16="http://schemas.microsoft.com/office/drawing/2014/main" id="{00000000-0008-0000-0300-00002C000000}"/>
                </a:ext>
              </a:extLst>
            </xdr:cNvPr>
            <xdr:cNvSpPr txBox="1"/>
          </xdr:nvSpPr>
          <xdr:spPr>
            <a:xfrm>
              <a:off x="12482288782" y="892510"/>
              <a:ext cx="2179518" cy="31445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r>
                <a:rPr lang="fa-IR" sz="1050" baseline="0">
                  <a:solidFill>
                    <a:schemeClr val="bg1"/>
                  </a:solidFill>
                  <a:effectLst>
                    <a:outerShdw blurRad="50800" dist="38100" dir="8100000" algn="tr" rotWithShape="0">
                      <a:prstClr val="black">
                        <a:alpha val="40000"/>
                      </a:prstClr>
                    </a:outerShdw>
                  </a:effectLst>
                  <a:latin typeface="Tahoma" panose="020B0604030504040204" pitchFamily="34" charset="0"/>
                  <a:ea typeface="Tahoma" panose="020B0604030504040204" pitchFamily="34" charset="0"/>
                  <a:cs typeface="B Titr" panose="00000700000000000000" pitchFamily="2" charset="-78"/>
                </a:rPr>
                <a:t>بندرعباس</a:t>
              </a:r>
              <a:endParaRPr lang="fa-IR" sz="1050">
                <a:solidFill>
                  <a:schemeClr val="bg1"/>
                </a:solidFill>
                <a:effectLst>
                  <a:outerShdw blurRad="50800" dist="38100" dir="8100000" algn="tr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B Titr" panose="00000700000000000000" pitchFamily="2" charset="-78"/>
              </a:endParaRPr>
            </a:p>
          </xdr:txBody>
        </xdr:sp>
      </xdr:grpSp>
      <xdr:sp macro="" textlink="calc!M41">
        <xdr:nvSpPr>
          <xdr:cNvPr id="28" name="TextBox 27">
            <a:extLst>
              <a:ext uri="{FF2B5EF4-FFF2-40B4-BE49-F238E27FC236}">
                <a16:creationId xmlns:a16="http://schemas.microsoft.com/office/drawing/2014/main" id="{00000000-0008-0000-0300-00001C000000}"/>
              </a:ext>
            </a:extLst>
          </xdr:cNvPr>
          <xdr:cNvSpPr txBox="1"/>
        </xdr:nvSpPr>
        <xdr:spPr>
          <a:xfrm>
            <a:off x="12477654228" y="2073518"/>
            <a:ext cx="564172" cy="468924"/>
          </a:xfrm>
          <a:prstGeom prst="rect">
            <a:avLst/>
          </a:prstGeom>
          <a:noFill/>
          <a:ln w="9525" cmpd="sng">
            <a:noFill/>
          </a:ln>
          <a:effectLst>
            <a:reflection blurRad="6350" stA="52000" endA="300" endPos="35000" dir="5400000" sy="-100000" algn="bl" rotWithShape="0"/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ctr"/>
          <a:lstStyle/>
          <a:p>
            <a:pPr algn="ctr" rtl="0"/>
            <a:fld id="{F6BAC641-431B-4068-B9D1-B182FD4C2E56}" type="TxLink">
              <a:rPr lang="en-US" sz="1400" b="1" i="0" u="none" strike="noStrike">
                <a:solidFill>
                  <a:srgbClr val="FF0000"/>
                </a:solidFill>
                <a:effectLst>
                  <a:reflection blurRad="6350" stA="55000" endA="50" endPos="85000" dir="5400000" sy="-100000" algn="bl" rotWithShape="0"/>
                </a:effectLst>
                <a:latin typeface="Century Gothic" panose="020B0502020202020204" pitchFamily="34" charset="0"/>
                <a:cs typeface="B Nazanin"/>
              </a:rPr>
              <a:pPr algn="ctr" rtl="0"/>
              <a:t>75%</a:t>
            </a:fld>
            <a:endParaRPr lang="fa-IR" sz="1100" b="1">
              <a:solidFill>
                <a:srgbClr val="FF0000"/>
              </a:solidFill>
              <a:effectLst>
                <a:reflection blurRad="6350" stA="55000" endA="50" endPos="85000" dir="5400000" sy="-100000" algn="bl" rotWithShape="0"/>
              </a:effectLst>
              <a:latin typeface="Century Gothic" panose="020B0502020202020204" pitchFamily="34" charset="0"/>
            </a:endParaRPr>
          </a:p>
        </xdr:txBody>
      </xdr:sp>
      <xdr:sp macro="" textlink="calc!M42">
        <xdr:nvSpPr>
          <xdr:cNvPr id="47" name="TextBox 46">
            <a:extLst>
              <a:ext uri="{FF2B5EF4-FFF2-40B4-BE49-F238E27FC236}">
                <a16:creationId xmlns:a16="http://schemas.microsoft.com/office/drawing/2014/main" id="{00000000-0008-0000-0300-00002F000000}"/>
              </a:ext>
            </a:extLst>
          </xdr:cNvPr>
          <xdr:cNvSpPr txBox="1"/>
        </xdr:nvSpPr>
        <xdr:spPr>
          <a:xfrm>
            <a:off x="12478548111" y="2102826"/>
            <a:ext cx="578826" cy="4249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ctr"/>
          <a:lstStyle/>
          <a:p>
            <a:pPr algn="ctr" rtl="0"/>
            <a:fld id="{61408FBE-A05D-4539-8A3D-BE5788451750}" type="TxLink">
              <a:rPr lang="en-US" sz="1400" b="1" i="0" u="none" strike="noStrike">
                <a:solidFill>
                  <a:srgbClr val="FF0000"/>
                </a:solidFill>
                <a:effectLst>
                  <a:reflection blurRad="6350" stA="55000" endA="50" endPos="85000" dir="5400000" sy="-100000" algn="bl" rotWithShape="0"/>
                </a:effectLst>
                <a:latin typeface="Century Gothic" panose="020B0502020202020204" pitchFamily="34" charset="0"/>
                <a:cs typeface="B Nazanin"/>
              </a:rPr>
              <a:pPr algn="ctr" rtl="0"/>
              <a:t>25%</a:t>
            </a:fld>
            <a:endParaRPr lang="fa-IR" sz="1100" b="1">
              <a:solidFill>
                <a:srgbClr val="FF0000"/>
              </a:solidFill>
              <a:effectLst>
                <a:reflection blurRad="6350" stA="55000" endA="50" endPos="85000" dir="5400000" sy="-100000" algn="bl" rotWithShape="0"/>
              </a:effectLst>
              <a:latin typeface="Century Gothic" panose="020B0502020202020204" pitchFamily="34" charset="0"/>
            </a:endParaRPr>
          </a:p>
        </xdr:txBody>
      </xdr:sp>
      <xdr:grpSp>
        <xdr:nvGrpSpPr>
          <xdr:cNvPr id="36" name="Group 35">
            <a:extLst>
              <a:ext uri="{FF2B5EF4-FFF2-40B4-BE49-F238E27FC236}">
                <a16:creationId xmlns:a16="http://schemas.microsoft.com/office/drawing/2014/main" id="{00000000-0008-0000-0300-000024000000}"/>
              </a:ext>
            </a:extLst>
          </xdr:cNvPr>
          <xdr:cNvGrpSpPr/>
        </xdr:nvGrpSpPr>
        <xdr:grpSpPr>
          <a:xfrm>
            <a:off x="12478885149" y="3135923"/>
            <a:ext cx="989136" cy="315058"/>
            <a:chOff x="12480959193" y="908538"/>
            <a:chExt cx="981808" cy="315058"/>
          </a:xfrm>
        </xdr:grpSpPr>
        <xdr:sp macro="" textlink="">
          <xdr:nvSpPr>
            <xdr:cNvPr id="34" name="TextBox 33">
              <a:extLst>
                <a:ext uri="{FF2B5EF4-FFF2-40B4-BE49-F238E27FC236}">
                  <a16:creationId xmlns:a16="http://schemas.microsoft.com/office/drawing/2014/main" id="{00000000-0008-0000-0300-000022000000}"/>
                </a:ext>
              </a:extLst>
            </xdr:cNvPr>
            <xdr:cNvSpPr txBox="1"/>
          </xdr:nvSpPr>
          <xdr:spPr>
            <a:xfrm>
              <a:off x="12480959193" y="908539"/>
              <a:ext cx="359020" cy="30040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t"/>
            <a:lstStyle/>
            <a:p>
              <a:pPr algn="r" rtl="1"/>
              <a:r>
                <a:rPr lang="fa-IR" sz="1300" b="1">
                  <a:solidFill>
                    <a:srgbClr val="46AAC2"/>
                  </a:solidFill>
                  <a:latin typeface="Agency FB" panose="020B0503020202020204" pitchFamily="34" charset="0"/>
                  <a:cs typeface="B Nazanin" panose="00000400000000000000" pitchFamily="2" charset="-78"/>
                </a:rPr>
                <a:t>نفر</a:t>
              </a:r>
            </a:p>
          </xdr:txBody>
        </xdr:sp>
        <xdr:sp macro="" textlink="calc!E42">
          <xdr:nvSpPr>
            <xdr:cNvPr id="53" name="TextBox 52">
              <a:extLst>
                <a:ext uri="{FF2B5EF4-FFF2-40B4-BE49-F238E27FC236}">
                  <a16:creationId xmlns:a16="http://schemas.microsoft.com/office/drawing/2014/main" id="{00000000-0008-0000-0300-000035000000}"/>
                </a:ext>
              </a:extLst>
            </xdr:cNvPr>
            <xdr:cNvSpPr txBox="1"/>
          </xdr:nvSpPr>
          <xdr:spPr>
            <a:xfrm>
              <a:off x="12481450096" y="908538"/>
              <a:ext cx="490905" cy="30040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fld id="{B7F12CF0-07B1-45F4-89F7-934D1443EAC8}" type="TxLink">
                <a:rPr lang="en-US" sz="1300" b="1" i="0" u="none" strike="noStrike">
                  <a:solidFill>
                    <a:srgbClr val="46AAC2"/>
                  </a:solidFill>
                  <a:latin typeface="Agency FB" panose="020B0503020202020204" pitchFamily="34" charset="0"/>
                  <a:cs typeface="B Nazanin" panose="00000400000000000000" pitchFamily="2" charset="-78"/>
                </a:rPr>
                <a:pPr algn="ctr" rtl="1"/>
                <a:t>22%</a:t>
              </a:fld>
              <a:endParaRPr lang="en-US" sz="1300" b="1">
                <a:solidFill>
                  <a:srgbClr val="46AAC2"/>
                </a:solidFill>
                <a:latin typeface="Agency FB" panose="020B0503020202020204" pitchFamily="34" charset="0"/>
                <a:cs typeface="B Nazanin" panose="00000400000000000000" pitchFamily="2" charset="-78"/>
              </a:endParaRPr>
            </a:p>
          </xdr:txBody>
        </xdr:sp>
        <xdr:sp macro="" textlink="">
          <xdr:nvSpPr>
            <xdr:cNvPr id="54" name="TextBox 53">
              <a:extLst>
                <a:ext uri="{FF2B5EF4-FFF2-40B4-BE49-F238E27FC236}">
                  <a16:creationId xmlns:a16="http://schemas.microsoft.com/office/drawing/2014/main" id="{00000000-0008-0000-0300-000036000000}"/>
                </a:ext>
              </a:extLst>
            </xdr:cNvPr>
            <xdr:cNvSpPr txBox="1"/>
          </xdr:nvSpPr>
          <xdr:spPr>
            <a:xfrm>
              <a:off x="12481362172" y="923192"/>
              <a:ext cx="219809" cy="30040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r>
                <a:rPr lang="en-US" sz="1300" b="1">
                  <a:solidFill>
                    <a:srgbClr val="46AAC2"/>
                  </a:solidFill>
                  <a:latin typeface="Agency FB" panose="020B0503020202020204" pitchFamily="34" charset="0"/>
                  <a:cs typeface="B Nazanin" panose="00000400000000000000" pitchFamily="2" charset="-78"/>
                </a:rPr>
                <a:t>=</a:t>
              </a:r>
            </a:p>
          </xdr:txBody>
        </xdr:sp>
        <xdr:sp macro="" textlink="calc!D42">
          <xdr:nvSpPr>
            <xdr:cNvPr id="55" name="TextBox 54">
              <a:extLst>
                <a:ext uri="{FF2B5EF4-FFF2-40B4-BE49-F238E27FC236}">
                  <a16:creationId xmlns:a16="http://schemas.microsoft.com/office/drawing/2014/main" id="{00000000-0008-0000-0300-000037000000}"/>
                </a:ext>
              </a:extLst>
            </xdr:cNvPr>
            <xdr:cNvSpPr txBox="1"/>
          </xdr:nvSpPr>
          <xdr:spPr>
            <a:xfrm>
              <a:off x="12481215634" y="915865"/>
              <a:ext cx="256443" cy="30040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fld id="{3CF99558-FDE6-4673-9C5E-21B786719FA1}" type="TxLink">
                <a:rPr lang="en-US" sz="1300" b="1" i="0" u="none" strike="noStrike">
                  <a:solidFill>
                    <a:srgbClr val="46AAC2"/>
                  </a:solidFill>
                  <a:latin typeface="Agency FB" panose="020B0503020202020204" pitchFamily="34" charset="0"/>
                  <a:cs typeface="B Nazanin" panose="00000400000000000000" pitchFamily="2" charset="-78"/>
                </a:rPr>
                <a:pPr algn="ctr" rtl="1"/>
                <a:t>4</a:t>
              </a:fld>
              <a:endParaRPr lang="en-US" sz="1300" b="1">
                <a:solidFill>
                  <a:srgbClr val="46AAC2"/>
                </a:solidFill>
                <a:latin typeface="Agency FB" panose="020B0503020202020204" pitchFamily="34" charset="0"/>
                <a:cs typeface="B Nazanin" panose="00000400000000000000" pitchFamily="2" charset="-78"/>
              </a:endParaRPr>
            </a:p>
          </xdr:txBody>
        </xdr:sp>
      </xdr:grpSp>
      <xdr:grpSp>
        <xdr:nvGrpSpPr>
          <xdr:cNvPr id="57" name="Group 56">
            <a:extLst>
              <a:ext uri="{FF2B5EF4-FFF2-40B4-BE49-F238E27FC236}">
                <a16:creationId xmlns:a16="http://schemas.microsoft.com/office/drawing/2014/main" id="{00000000-0008-0000-0300-000039000000}"/>
              </a:ext>
            </a:extLst>
          </xdr:cNvPr>
          <xdr:cNvGrpSpPr/>
        </xdr:nvGrpSpPr>
        <xdr:grpSpPr>
          <a:xfrm>
            <a:off x="12476863237" y="3150578"/>
            <a:ext cx="1040425" cy="322384"/>
            <a:chOff x="12480908284" y="901212"/>
            <a:chExt cx="1032717" cy="322384"/>
          </a:xfrm>
        </xdr:grpSpPr>
        <xdr:sp macro="" textlink="">
          <xdr:nvSpPr>
            <xdr:cNvPr id="58" name="TextBox 57">
              <a:extLst>
                <a:ext uri="{FF2B5EF4-FFF2-40B4-BE49-F238E27FC236}">
                  <a16:creationId xmlns:a16="http://schemas.microsoft.com/office/drawing/2014/main" id="{00000000-0008-0000-0300-00003A000000}"/>
                </a:ext>
              </a:extLst>
            </xdr:cNvPr>
            <xdr:cNvSpPr txBox="1"/>
          </xdr:nvSpPr>
          <xdr:spPr>
            <a:xfrm>
              <a:off x="12480908284" y="901212"/>
              <a:ext cx="359020" cy="30040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t"/>
            <a:lstStyle/>
            <a:p>
              <a:pPr algn="r" rtl="1"/>
              <a:r>
                <a:rPr lang="fa-IR" sz="1300" b="1">
                  <a:solidFill>
                    <a:srgbClr val="46AAC2"/>
                  </a:solidFill>
                  <a:latin typeface="Agency FB" panose="020B0503020202020204" pitchFamily="34" charset="0"/>
                  <a:cs typeface="B Nazanin" panose="00000400000000000000" pitchFamily="2" charset="-78"/>
                </a:rPr>
                <a:t>نفر</a:t>
              </a:r>
            </a:p>
          </xdr:txBody>
        </xdr:sp>
        <xdr:sp macro="" textlink="calc!E41">
          <xdr:nvSpPr>
            <xdr:cNvPr id="59" name="TextBox 58">
              <a:extLst>
                <a:ext uri="{FF2B5EF4-FFF2-40B4-BE49-F238E27FC236}">
                  <a16:creationId xmlns:a16="http://schemas.microsoft.com/office/drawing/2014/main" id="{00000000-0008-0000-0300-00003B000000}"/>
                </a:ext>
              </a:extLst>
            </xdr:cNvPr>
            <xdr:cNvSpPr txBox="1"/>
          </xdr:nvSpPr>
          <xdr:spPr>
            <a:xfrm>
              <a:off x="12481450096" y="908538"/>
              <a:ext cx="490905" cy="30040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fld id="{7F4D5F6D-7B83-4B87-B565-8CE1290F4AC4}" type="TxLink">
                <a:rPr lang="en-US" sz="1300" b="1" i="0" u="none" strike="noStrike">
                  <a:solidFill>
                    <a:srgbClr val="46AAC2"/>
                  </a:solidFill>
                  <a:latin typeface="Agency FB" panose="020B0503020202020204" pitchFamily="34" charset="0"/>
                  <a:cs typeface="B Nazanin"/>
                </a:rPr>
                <a:pPr algn="ctr" rtl="1"/>
                <a:t>78%</a:t>
              </a:fld>
              <a:endParaRPr lang="en-US" sz="1300" b="1">
                <a:solidFill>
                  <a:srgbClr val="46AAC2"/>
                </a:solidFill>
                <a:latin typeface="Agency FB" panose="020B0503020202020204" pitchFamily="34" charset="0"/>
                <a:cs typeface="B Nazanin" panose="00000400000000000000" pitchFamily="2" charset="-78"/>
              </a:endParaRPr>
            </a:p>
          </xdr:txBody>
        </xdr:sp>
        <xdr:sp macro="" textlink="">
          <xdr:nvSpPr>
            <xdr:cNvPr id="60" name="TextBox 59">
              <a:extLst>
                <a:ext uri="{FF2B5EF4-FFF2-40B4-BE49-F238E27FC236}">
                  <a16:creationId xmlns:a16="http://schemas.microsoft.com/office/drawing/2014/main" id="{00000000-0008-0000-0300-00003C000000}"/>
                </a:ext>
              </a:extLst>
            </xdr:cNvPr>
            <xdr:cNvSpPr txBox="1"/>
          </xdr:nvSpPr>
          <xdr:spPr>
            <a:xfrm>
              <a:off x="12481362172" y="923192"/>
              <a:ext cx="219809" cy="30040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r>
                <a:rPr lang="en-US" sz="1300" b="1">
                  <a:solidFill>
                    <a:srgbClr val="46AAC2"/>
                  </a:solidFill>
                  <a:latin typeface="Agency FB" panose="020B0503020202020204" pitchFamily="34" charset="0"/>
                  <a:cs typeface="B Nazanin" panose="00000400000000000000" pitchFamily="2" charset="-78"/>
                </a:rPr>
                <a:t>=</a:t>
              </a:r>
            </a:p>
          </xdr:txBody>
        </xdr:sp>
        <xdr:sp macro="" textlink="calc!D41">
          <xdr:nvSpPr>
            <xdr:cNvPr id="61" name="TextBox 60">
              <a:extLst>
                <a:ext uri="{FF2B5EF4-FFF2-40B4-BE49-F238E27FC236}">
                  <a16:creationId xmlns:a16="http://schemas.microsoft.com/office/drawing/2014/main" id="{00000000-0008-0000-0300-00003D000000}"/>
                </a:ext>
              </a:extLst>
            </xdr:cNvPr>
            <xdr:cNvSpPr txBox="1"/>
          </xdr:nvSpPr>
          <xdr:spPr>
            <a:xfrm>
              <a:off x="12481111602" y="915865"/>
              <a:ext cx="360474" cy="30040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ctr"/>
            <a:lstStyle/>
            <a:p>
              <a:pPr algn="ctr" rtl="1"/>
              <a:fld id="{1F51E7B9-51A2-4E8E-8131-D8AD85EEBA2E}" type="TxLink">
                <a:rPr lang="en-US" sz="1300" b="1" i="0" u="none" strike="noStrike">
                  <a:solidFill>
                    <a:srgbClr val="46AAC2"/>
                  </a:solidFill>
                  <a:latin typeface="Agency FB" panose="020B0503020202020204" pitchFamily="34" charset="0"/>
                  <a:cs typeface="B Nazanin"/>
                </a:rPr>
                <a:pPr algn="ctr" rtl="1"/>
                <a:t>14</a:t>
              </a:fld>
              <a:endParaRPr lang="en-US" sz="1300" b="1">
                <a:solidFill>
                  <a:srgbClr val="46AAC2"/>
                </a:solidFill>
                <a:latin typeface="Agency FB" panose="020B0503020202020204" pitchFamily="34" charset="0"/>
                <a:cs typeface="B Nazanin" panose="00000400000000000000" pitchFamily="2" charset="-78"/>
              </a:endParaRPr>
            </a:p>
          </xdr:txBody>
        </xdr:sp>
      </xdr:grpSp>
      <xdr:pic>
        <xdr:nvPicPr>
          <xdr:cNvPr id="62" name="Picture 61">
            <a:extLst>
              <a:ext uri="{FF2B5EF4-FFF2-40B4-BE49-F238E27FC236}">
                <a16:creationId xmlns:a16="http://schemas.microsoft.com/office/drawing/2014/main" id="{00000000-0008-0000-0300-00003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3" cstate="print">
            <a:duotone>
              <a:schemeClr val="accent3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478385007" y="2982058"/>
            <a:ext cx="144178" cy="159565"/>
          </a:xfrm>
          <a:prstGeom prst="rect">
            <a:avLst/>
          </a:prstGeom>
        </xdr:spPr>
      </xdr:pic>
      <xdr:pic>
        <xdr:nvPicPr>
          <xdr:cNvPr id="63" name="Picture 62">
            <a:extLst>
              <a:ext uri="{FF2B5EF4-FFF2-40B4-BE49-F238E27FC236}">
                <a16:creationId xmlns:a16="http://schemas.microsoft.com/office/drawing/2014/main" id="{00000000-0008-0000-0300-00003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3" cstate="print">
            <a:duotone>
              <a:schemeClr val="accent3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478225653" y="2982058"/>
            <a:ext cx="144178" cy="159565"/>
          </a:xfrm>
          <a:prstGeom prst="rect">
            <a:avLst/>
          </a:prstGeom>
        </xdr:spPr>
      </xdr:pic>
      <xdr:sp macro="" textlink="">
        <xdr:nvSpPr>
          <xdr:cNvPr id="64" name="TextBox 63">
            <a:extLst>
              <a:ext uri="{FF2B5EF4-FFF2-40B4-BE49-F238E27FC236}">
                <a16:creationId xmlns:a16="http://schemas.microsoft.com/office/drawing/2014/main" id="{00000000-0008-0000-0300-000040000000}"/>
              </a:ext>
            </a:extLst>
          </xdr:cNvPr>
          <xdr:cNvSpPr txBox="1"/>
        </xdr:nvSpPr>
        <xdr:spPr>
          <a:xfrm>
            <a:off x="12477829068" y="3238499"/>
            <a:ext cx="1041400" cy="3080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ctr"/>
          <a:lstStyle/>
          <a:p>
            <a:pPr algn="ctr" rtl="1"/>
            <a:r>
              <a:rPr lang="fa-IR" sz="600">
                <a:solidFill>
                  <a:schemeClr val="tx1">
                    <a:lumMod val="50000"/>
                    <a:lumOff val="50000"/>
                  </a:schemeClr>
                </a:solidFill>
                <a:effectLst>
                  <a:outerShdw blurRad="50800" dist="38100" dir="8100000" algn="tr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تعداد نفرات</a:t>
            </a:r>
          </a:p>
        </xdr:txBody>
      </xdr:sp>
      <xdr:cxnSp macro="">
        <xdr:nvCxnSpPr>
          <xdr:cNvPr id="65" name="Straight Connector 64">
            <a:extLst>
              <a:ext uri="{FF2B5EF4-FFF2-40B4-BE49-F238E27FC236}">
                <a16:creationId xmlns:a16="http://schemas.microsoft.com/office/drawing/2014/main" id="{00000000-0008-0000-0300-000041000000}"/>
              </a:ext>
            </a:extLst>
          </xdr:cNvPr>
          <xdr:cNvCxnSpPr/>
        </xdr:nvCxnSpPr>
        <xdr:spPr>
          <a:xfrm>
            <a:off x="12477915524" y="3275135"/>
            <a:ext cx="962270" cy="0"/>
          </a:xfrm>
          <a:prstGeom prst="line">
            <a:avLst/>
          </a:prstGeom>
          <a:ln>
            <a:solidFill>
              <a:srgbClr val="019BA7"/>
            </a:solidFill>
            <a:prstDash val="dashDot"/>
            <a:headEnd type="triangl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aphicFrame macro="">
        <xdr:nvGraphicFramePr>
          <xdr:cNvPr id="244" name="Chart 243">
            <a:extLst>
              <a:ext uri="{FF2B5EF4-FFF2-40B4-BE49-F238E27FC236}">
                <a16:creationId xmlns:a16="http://schemas.microsoft.com/office/drawing/2014/main" id="{00000000-0008-0000-0300-0000F4000000}"/>
              </a:ext>
            </a:extLst>
          </xdr:cNvPr>
          <xdr:cNvGraphicFramePr>
            <a:graphicFrameLocks/>
          </xdr:cNvGraphicFramePr>
        </xdr:nvGraphicFramePr>
        <xdr:xfrm>
          <a:off x="12480372545" y="1282211"/>
          <a:ext cx="2417855" cy="22713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4"/>
          </a:graphicData>
        </a:graphic>
      </xdr:graphicFrame>
      <xdr:graphicFrame macro="">
        <xdr:nvGraphicFramePr>
          <xdr:cNvPr id="245" name="Chart 244">
            <a:extLst>
              <a:ext uri="{FF2B5EF4-FFF2-40B4-BE49-F238E27FC236}">
                <a16:creationId xmlns:a16="http://schemas.microsoft.com/office/drawing/2014/main" id="{00000000-0008-0000-0300-0000F5000000}"/>
              </a:ext>
            </a:extLst>
          </xdr:cNvPr>
          <xdr:cNvGraphicFramePr>
            <a:graphicFrameLocks/>
          </xdr:cNvGraphicFramePr>
        </xdr:nvGraphicFramePr>
        <xdr:xfrm>
          <a:off x="12473331340" y="1304191"/>
          <a:ext cx="3553560" cy="20515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5"/>
          </a:graphicData>
        </a:graphic>
      </xdr:graphicFrame>
    </xdr:grpSp>
    <xdr:clientData/>
  </xdr:twoCellAnchor>
  <xdr:twoCellAnchor>
    <xdr:from>
      <xdr:col>1</xdr:col>
      <xdr:colOff>0</xdr:colOff>
      <xdr:row>29</xdr:row>
      <xdr:rowOff>152400</xdr:rowOff>
    </xdr:from>
    <xdr:to>
      <xdr:col>7</xdr:col>
      <xdr:colOff>236886</xdr:colOff>
      <xdr:row>36</xdr:row>
      <xdr:rowOff>106082</xdr:rowOff>
    </xdr:to>
    <xdr:graphicFrame macro="">
      <xdr:nvGraphicFramePr>
        <xdr:cNvPr id="246" name="Chart 245">
          <a:extLst>
            <a:ext uri="{FF2B5EF4-FFF2-40B4-BE49-F238E27FC236}">
              <a16:creationId xmlns:a16="http://schemas.microsoft.com/office/drawing/2014/main" id="{00000000-0008-0000-0300-0000F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28919</xdr:colOff>
      <xdr:row>53</xdr:row>
      <xdr:rowOff>265340</xdr:rowOff>
    </xdr:from>
    <xdr:to>
      <xdr:col>7</xdr:col>
      <xdr:colOff>219925</xdr:colOff>
      <xdr:row>60</xdr:row>
      <xdr:rowOff>240792</xdr:rowOff>
    </xdr:to>
    <xdr:graphicFrame macro="">
      <xdr:nvGraphicFramePr>
        <xdr:cNvPr id="247" name="Chart 246">
          <a:extLst>
            <a:ext uri="{FF2B5EF4-FFF2-40B4-BE49-F238E27FC236}">
              <a16:creationId xmlns:a16="http://schemas.microsoft.com/office/drawing/2014/main" id="{00000000-0008-0000-0300-0000F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271126</xdr:colOff>
      <xdr:row>53</xdr:row>
      <xdr:rowOff>224491</xdr:rowOff>
    </xdr:from>
    <xdr:to>
      <xdr:col>13</xdr:col>
      <xdr:colOff>746870</xdr:colOff>
      <xdr:row>60</xdr:row>
      <xdr:rowOff>222770</xdr:rowOff>
    </xdr:to>
    <xdr:graphicFrame macro="">
      <xdr:nvGraphicFramePr>
        <xdr:cNvPr id="249" name="Chart 248">
          <a:extLst>
            <a:ext uri="{FF2B5EF4-FFF2-40B4-BE49-F238E27FC236}">
              <a16:creationId xmlns:a16="http://schemas.microsoft.com/office/drawing/2014/main" id="{00000000-0008-0000-0300-0000F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 editAs="oneCell">
    <xdr:from>
      <xdr:col>13</xdr:col>
      <xdr:colOff>176895</xdr:colOff>
      <xdr:row>50</xdr:row>
      <xdr:rowOff>238126</xdr:rowOff>
    </xdr:from>
    <xdr:to>
      <xdr:col>13</xdr:col>
      <xdr:colOff>571499</xdr:colOff>
      <xdr:row>52</xdr:row>
      <xdr:rowOff>61232</xdr:rowOff>
    </xdr:to>
    <xdr:pic>
      <xdr:nvPicPr>
        <xdr:cNvPr id="251" name="Picture 250" descr="Day Night Icon Images – Browse 80,499 Stock Photos, Vectors, and Video |  Adobe Stock">
          <a:extLst>
            <a:ext uri="{FF2B5EF4-FFF2-40B4-BE49-F238E27FC236}">
              <a16:creationId xmlns:a16="http://schemas.microsoft.com/office/drawing/2014/main" id="{00000000-0008-0000-0300-0000F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98" t="19685" r="19685" b="18898"/>
        <a:stretch/>
      </xdr:blipFill>
      <xdr:spPr bwMode="auto">
        <a:xfrm>
          <a:off x="12473470555" y="14525626"/>
          <a:ext cx="394604" cy="3946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61235</xdr:colOff>
      <xdr:row>50</xdr:row>
      <xdr:rowOff>238126</xdr:rowOff>
    </xdr:from>
    <xdr:to>
      <xdr:col>1</xdr:col>
      <xdr:colOff>455839</xdr:colOff>
      <xdr:row>52</xdr:row>
      <xdr:rowOff>61232</xdr:rowOff>
    </xdr:to>
    <xdr:pic>
      <xdr:nvPicPr>
        <xdr:cNvPr id="252" name="Picture 251" descr="Day Night Icon Images – Browse 80,499 Stock Photos, Vectors, and Video |  Adobe Stock">
          <a:extLst>
            <a:ext uri="{FF2B5EF4-FFF2-40B4-BE49-F238E27FC236}">
              <a16:creationId xmlns:a16="http://schemas.microsoft.com/office/drawing/2014/main" id="{00000000-0008-0000-0300-0000F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98" t="19685" r="19685" b="18898"/>
        <a:stretch/>
      </xdr:blipFill>
      <xdr:spPr bwMode="auto">
        <a:xfrm>
          <a:off x="12482730215" y="14525626"/>
          <a:ext cx="394604" cy="3946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578305</xdr:colOff>
      <xdr:row>51</xdr:row>
      <xdr:rowOff>27214</xdr:rowOff>
    </xdr:from>
    <xdr:to>
      <xdr:col>2</xdr:col>
      <xdr:colOff>251733</xdr:colOff>
      <xdr:row>51</xdr:row>
      <xdr:rowOff>278946</xdr:rowOff>
    </xdr:to>
    <xdr:sp macro="" textlink="calc!D206">
      <xdr:nvSpPr>
        <xdr:cNvPr id="49" name="TextBox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/>
      </xdr:nvSpPr>
      <xdr:spPr>
        <a:xfrm>
          <a:off x="12482172321" y="14600464"/>
          <a:ext cx="435428" cy="251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fld id="{410F8A9A-2A99-4604-A689-52C7DEF011D7}" type="TxLink">
            <a:rPr lang="en-US" sz="1400" b="1" i="0" u="none" strike="noStrike">
              <a:solidFill>
                <a:srgbClr val="46AAC2"/>
              </a:solidFill>
              <a:latin typeface="Agency FB" panose="020B0503020202020204" pitchFamily="34" charset="0"/>
              <a:cs typeface="B Nazanin"/>
            </a:rPr>
            <a:pPr algn="ctr" rtl="1"/>
            <a:t>1</a:t>
          </a:fld>
          <a:endParaRPr lang="fa-IR" sz="1100">
            <a:solidFill>
              <a:srgbClr val="46AAC2"/>
            </a:solidFill>
            <a:latin typeface="Agency FB" panose="020B0503020202020204" pitchFamily="34" charset="0"/>
          </a:endParaRPr>
        </a:p>
      </xdr:txBody>
    </xdr:sp>
    <xdr:clientData/>
  </xdr:twoCellAnchor>
  <xdr:twoCellAnchor>
    <xdr:from>
      <xdr:col>12</xdr:col>
      <xdr:colOff>387805</xdr:colOff>
      <xdr:row>51</xdr:row>
      <xdr:rowOff>27214</xdr:rowOff>
    </xdr:from>
    <xdr:to>
      <xdr:col>13</xdr:col>
      <xdr:colOff>61233</xdr:colOff>
      <xdr:row>51</xdr:row>
      <xdr:rowOff>278946</xdr:rowOff>
    </xdr:to>
    <xdr:sp macro="" textlink="calc!D193">
      <xdr:nvSpPr>
        <xdr:cNvPr id="253" name="TextBox 252">
          <a:extLst>
            <a:ext uri="{FF2B5EF4-FFF2-40B4-BE49-F238E27FC236}">
              <a16:creationId xmlns:a16="http://schemas.microsoft.com/office/drawing/2014/main" id="{00000000-0008-0000-0300-0000FD000000}"/>
            </a:ext>
          </a:extLst>
        </xdr:cNvPr>
        <xdr:cNvSpPr txBox="1"/>
      </xdr:nvSpPr>
      <xdr:spPr>
        <a:xfrm>
          <a:off x="12473980821" y="14600464"/>
          <a:ext cx="435428" cy="251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fld id="{382F9ABD-1CCC-4815-9C2A-B89A9317A345}" type="TxLink">
            <a:rPr lang="en-US" sz="1400" b="1" i="0" u="none" strike="noStrike">
              <a:solidFill>
                <a:srgbClr val="46AAC2"/>
              </a:solidFill>
              <a:latin typeface="Agency FB" panose="020B0503020202020204" pitchFamily="34" charset="0"/>
              <a:cs typeface="B Nazanin"/>
            </a:rPr>
            <a:pPr algn="ctr" rtl="1"/>
            <a:t>0</a:t>
          </a:fld>
          <a:endParaRPr lang="fa-IR" sz="1100">
            <a:solidFill>
              <a:srgbClr val="46AAC2"/>
            </a:solidFill>
            <a:latin typeface="Agency FB" panose="020B050302020202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C000000}" name="Table1" displayName="Table1" ref="A1:W142" totalsRowCount="1" headerRowDxfId="156" dataDxfId="154" totalsRowDxfId="152" headerRowBorderDxfId="155" tableBorderDxfId="153" totalsRowBorderDxfId="151">
  <autoFilter ref="A1:W141" xr:uid="{00000000-0009-0000-0100-000001000000}"/>
  <tableColumns count="23">
    <tableColumn id="12" xr3:uid="{00000000-0010-0000-0C00-00000C000000}" name="سال" totalsRowLabel="جمع" dataDxfId="45" totalsRowDxfId="22"/>
    <tableColumn id="1" xr3:uid="{00000000-0010-0000-0C00-000001000000}" name="ماه" dataDxfId="44" totalsRowDxfId="21"/>
    <tableColumn id="2" xr3:uid="{00000000-0010-0000-0C00-000002000000}" name="کد پرسنلی" totalsRowFunction="count" dataDxfId="43" totalsRowDxfId="20"/>
    <tableColumn id="3" xr3:uid="{00000000-0010-0000-0C00-000003000000}" name="نام و نام خانوادگی" dataDxfId="42" totalsRowDxfId="19" dataCellStyle="Normal 2"/>
    <tableColumn id="19" xr3:uid="{0C3B5725-9434-4BC1-9BCB-5A1B2A4888FA}" name="نوع قرارداد" dataDxfId="41" totalsRowDxfId="18"/>
    <tableColumn id="4" xr3:uid="{00000000-0010-0000-0C00-000004000000}" name="محل خدمت" dataDxfId="40" totalsRowDxfId="17"/>
    <tableColumn id="5" xr3:uid="{00000000-0010-0000-0C00-000005000000}" name="واحد عملیاتی" dataDxfId="39" totalsRowDxfId="16"/>
    <tableColumn id="6" xr3:uid="{00000000-0010-0000-0C00-000006000000}" name="واحد شغلی" dataDxfId="38" totalsRowDxfId="15"/>
    <tableColumn id="7" xr3:uid="{00000000-0010-0000-0C00-000007000000}" name="سمت شغلی" dataDxfId="37" totalsRowDxfId="14"/>
    <tableColumn id="8" xr3:uid="{00000000-0010-0000-0C00-000008000000}" name="مرکز هزینه" dataDxfId="36" totalsRowDxfId="13"/>
    <tableColumn id="18" xr3:uid="{00000000-0010-0000-0C00-000012000000}" name="کارکرد_x000a_(ساعت)" totalsRowFunction="sum" dataDxfId="35" totalsRowDxfId="12"/>
    <tableColumn id="9" xr3:uid="{00000000-0010-0000-0C00-000009000000}" name="اضافه کاری_x000a_(ساعت)" totalsRowFunction="sum" dataDxfId="34" totalsRowDxfId="11"/>
    <tableColumn id="10" xr3:uid="{00000000-0010-0000-0C00-00000A000000}" name="مبلغ_x000a_اضافه کاری" totalsRowFunction="sum" dataDxfId="33" totalsRowDxfId="10" dataCellStyle="Comma"/>
    <tableColumn id="14" xr3:uid="{00000000-0010-0000-0C00-00000E000000}" name="جمعه کاری + تعطیل کاری_x000a_(ساعت)" totalsRowFunction="sum" dataDxfId="32" totalsRowDxfId="9" dataCellStyle="Comma"/>
    <tableColumn id="15" xr3:uid="{00000000-0010-0000-0C00-00000F000000}" name="مبلغ_x000a_جمعه کاری + تعطیل کاری" totalsRowFunction="sum" dataDxfId="31" totalsRowDxfId="8" dataCellStyle="Comma"/>
    <tableColumn id="16" xr3:uid="{00000000-0010-0000-0C00-000010000000}" name="شب کاری_x000a_(ساعت)" totalsRowFunction="sum" dataDxfId="30" totalsRowDxfId="7" dataCellStyle="Comma"/>
    <tableColumn id="17" xr3:uid="{00000000-0010-0000-0C00-000011000000}" name="مبلغ_x000a_شب کاری" totalsRowFunction="sum" dataDxfId="29" totalsRowDxfId="6" dataCellStyle="Comma"/>
    <tableColumn id="23" xr3:uid="{2F0B12D6-DD88-4489-87CE-7AAA1A384C66}" name="ماموریت_x000a_(روزانه)" totalsRowFunction="sum" dataDxfId="28" totalsRowDxfId="0" dataCellStyle="Comma"/>
    <tableColumn id="11" xr3:uid="{00000000-0010-0000-0C00-00000B000000}" name="مبلغ_x000a_حق ماموریت" totalsRowFunction="sum" dataDxfId="27" totalsRowDxfId="5" dataCellStyle="Comma"/>
    <tableColumn id="20" xr3:uid="{00000000-0010-0000-0C00-000014000000}" name="جمع_x000a_حقوق و مزایا" totalsRowFunction="sum" dataDxfId="26" totalsRowDxfId="4" dataCellStyle="Comma"/>
    <tableColumn id="21" xr3:uid="{00000000-0010-0000-0C00-000015000000}" name="مالیات" totalsRowFunction="sum" dataDxfId="25" totalsRowDxfId="3" dataCellStyle="Comma"/>
    <tableColumn id="22" xr3:uid="{00000000-0010-0000-0C00-000016000000}" name="بیمه" totalsRowFunction="sum" dataDxfId="24" totalsRowDxfId="2" dataCellStyle="Comma"/>
    <tableColumn id="13" xr3:uid="{00000000-0010-0000-0C00-00000D000000}" name="حقوق پرداختنی_x000a_(خالص)" totalsRowFunction="sum" dataDxfId="23" totalsRowDxfId="1" dataCellStyle="Comma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est9" displayName="test9" ref="C135:G154" totalsRowShown="0" headerRowDxfId="81" dataDxfId="79" headerRowBorderDxfId="80" tableBorderDxfId="78">
  <autoFilter ref="C135:G154" xr:uid="{00000000-0009-0000-0100-000009000000}">
    <filterColumn colId="3">
      <customFilters>
        <customFilter operator="notEqual" val="0"/>
      </customFilters>
    </filterColumn>
  </autoFilter>
  <tableColumns count="5">
    <tableColumn id="1" xr3:uid="{00000000-0010-0000-0800-000001000000}" name="مرکز هزینه" dataDxfId="77"/>
    <tableColumn id="2" xr3:uid="{00000000-0010-0000-0800-000002000000}" name="ساعت شب کاری" dataDxfId="76"/>
    <tableColumn id="3" xr3:uid="{00000000-0010-0000-0800-000003000000}" name="درصد" dataDxfId="75"/>
    <tableColumn id="4" xr3:uid="{00000000-0010-0000-0800-000004000000}" name="جمع پرداختی" dataDxfId="74"/>
    <tableColumn id="5" xr3:uid="{00000000-0010-0000-0800-000005000000}" name="درصد(جمع پرداختی)" dataDxfId="73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est10" displayName="test10" ref="C158:G167" totalsRowShown="0" headerRowDxfId="72" dataDxfId="70" headerRowBorderDxfId="71" tableBorderDxfId="69">
  <autoFilter ref="C158:G167" xr:uid="{00000000-0009-0000-0100-00000A000000}">
    <filterColumn colId="3">
      <customFilters>
        <customFilter operator="notEqual" val="0"/>
      </customFilters>
    </filterColumn>
  </autoFilter>
  <tableColumns count="5">
    <tableColumn id="1" xr3:uid="{00000000-0010-0000-0900-000001000000}" name="مرکز هزینه" dataDxfId="68"/>
    <tableColumn id="2" xr3:uid="{00000000-0010-0000-0900-000002000000}" name="ساعت شب کاری" dataDxfId="67"/>
    <tableColumn id="3" xr3:uid="{00000000-0010-0000-0900-000003000000}" name="درصد" dataDxfId="66"/>
    <tableColumn id="4" xr3:uid="{00000000-0010-0000-0900-000004000000}" name="جمع پرداختی" dataDxfId="65"/>
    <tableColumn id="5" xr3:uid="{00000000-0010-0000-0900-000005000000}" name="درصد(جمع پرداختی)" dataDxfId="64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A000000}" name="test11" displayName="test11" ref="C174:G193" totalsRowShown="0" headerRowDxfId="63" dataDxfId="61" headerRowBorderDxfId="62" tableBorderDxfId="60">
  <autoFilter ref="C174:G193" xr:uid="{00000000-0009-0000-0100-00000E000000}">
    <filterColumn colId="3">
      <customFilters>
        <customFilter operator="notEqual" val="0"/>
      </customFilters>
    </filterColumn>
  </autoFilter>
  <tableColumns count="5">
    <tableColumn id="1" xr3:uid="{00000000-0010-0000-0A00-000001000000}" name="مرکز هزینه" dataDxfId="59"/>
    <tableColumn id="2" xr3:uid="{00000000-0010-0000-0A00-000002000000}" name="تعداد روز" dataDxfId="58">
      <calculatedColumnFormula>SUMIFS(database!$R:$R,database!$F:$F,calc!$C$173,database!$J:$J,calc!C175,database!$B:$B,listbox!$D$3,database!$A:$A,listbox!$B$3)</calculatedColumnFormula>
    </tableColumn>
    <tableColumn id="3" xr3:uid="{00000000-0010-0000-0A00-000003000000}" name="Column2" dataDxfId="57"/>
    <tableColumn id="4" xr3:uid="{00000000-0010-0000-0A00-000004000000}" name="جمع پرداختی" dataDxfId="56"/>
    <tableColumn id="5" xr3:uid="{00000000-0010-0000-0A00-000005000000}" name="درصد(جمع پرداختی)" dataDxfId="55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B000000}" name="test12" displayName="test12" ref="C197:G206" totalsRowShown="0" headerRowDxfId="54" dataDxfId="52" headerRowBorderDxfId="53" tableBorderDxfId="51">
  <autoFilter ref="C197:G206" xr:uid="{00000000-0009-0000-0100-00000F000000}">
    <filterColumn colId="3">
      <customFilters>
        <customFilter operator="notEqual" val="0"/>
      </customFilters>
    </filterColumn>
  </autoFilter>
  <tableColumns count="5">
    <tableColumn id="1" xr3:uid="{00000000-0010-0000-0B00-000001000000}" name="مرکز هزینه" dataDxfId="50"/>
    <tableColumn id="2" xr3:uid="{00000000-0010-0000-0B00-000002000000}" name="تعداد روز" dataDxfId="49"/>
    <tableColumn id="3" xr3:uid="{00000000-0010-0000-0B00-000003000000}" name="Column2" dataDxfId="48"/>
    <tableColumn id="4" xr3:uid="{00000000-0010-0000-0B00-000004000000}" name="جمع پرداختی" dataDxfId="47"/>
    <tableColumn id="5" xr3:uid="{00000000-0010-0000-0B00-000005000000}" name="درصد(جمع پرداختی)" dataDxfId="4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est1" displayName="test1" ref="J4:O22" totalsRowShown="0" headerRowDxfId="150" dataDxfId="149" dataCellStyle="Percent">
  <autoFilter ref="J4:O22" xr:uid="{00000000-0009-0000-0100-000002000000}">
    <filterColumn colId="3">
      <customFilters>
        <customFilter operator="notEqual" val="0"/>
      </customFilters>
    </filterColumn>
  </autoFilter>
  <tableColumns count="6">
    <tableColumn id="1" xr3:uid="{00000000-0010-0000-0000-000001000000}" name="مرکز هزینه" dataDxfId="148">
      <calculatedColumnFormula>C5</calculatedColumnFormula>
    </tableColumn>
    <tableColumn id="2" xr3:uid="{00000000-0010-0000-0000-000002000000}" name="درپوش پایین" dataDxfId="147" dataCellStyle="Percent"/>
    <tableColumn id="3" xr3:uid="{00000000-0010-0000-0000-000003000000}" name="لیبل" dataDxfId="146" dataCellStyle="Percent"/>
    <tableColumn id="4" xr3:uid="{00000000-0010-0000-0000-000004000000}" name="مقدار واقعی" dataDxfId="145">
      <calculatedColumnFormula>G5</calculatedColumnFormula>
    </tableColumn>
    <tableColumn id="5" xr3:uid="{00000000-0010-0000-0000-000005000000}" name="ترنسپرنت" dataDxfId="144">
      <calculatedColumnFormula>1-M5</calculatedColumnFormula>
    </tableColumn>
    <tableColumn id="6" xr3:uid="{00000000-0010-0000-0000-000006000000}" name="درپوش بالا" dataDxfId="143" dataCellStyle="Percen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est2" displayName="test2" ref="J27:O35" totalsRowShown="0" headerRowDxfId="142" dataDxfId="141" dataCellStyle="Percent">
  <autoFilter ref="J27:O35" xr:uid="{00000000-0009-0000-0100-000003000000}">
    <filterColumn colId="3">
      <customFilters>
        <customFilter operator="notEqual" val="0"/>
      </customFilters>
    </filterColumn>
  </autoFilter>
  <tableColumns count="6">
    <tableColumn id="1" xr3:uid="{00000000-0010-0000-0100-000001000000}" name="مرکز هزینه" dataDxfId="140">
      <calculatedColumnFormula>C28</calculatedColumnFormula>
    </tableColumn>
    <tableColumn id="2" xr3:uid="{00000000-0010-0000-0100-000002000000}" name="درپوش پایین" dataDxfId="139" dataCellStyle="Percent"/>
    <tableColumn id="3" xr3:uid="{00000000-0010-0000-0100-000003000000}" name="لیبل" dataDxfId="138" dataCellStyle="Percent"/>
    <tableColumn id="4" xr3:uid="{00000000-0010-0000-0100-000004000000}" name="مقدار واقعی" dataDxfId="137">
      <calculatedColumnFormula>G28</calculatedColumnFormula>
    </tableColumn>
    <tableColumn id="5" xr3:uid="{00000000-0010-0000-0100-000005000000}" name="ترنسپرنت" dataDxfId="136">
      <calculatedColumnFormula>1-M28</calculatedColumnFormula>
    </tableColumn>
    <tableColumn id="6" xr3:uid="{00000000-0010-0000-0100-000006000000}" name="درپوش بالا" dataDxfId="135" dataCellStyle="Percent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est3" displayName="test3" ref="C50:G69" totalsRowShown="0" headerRowDxfId="134" dataDxfId="132" headerRowBorderDxfId="133" tableBorderDxfId="131">
  <autoFilter ref="C50:G69" xr:uid="{00000000-0009-0000-0100-000006000000}">
    <filterColumn colId="3">
      <customFilters>
        <customFilter operator="notEqual" val="0"/>
      </customFilters>
    </filterColumn>
  </autoFilter>
  <tableColumns count="5">
    <tableColumn id="1" xr3:uid="{00000000-0010-0000-0200-000001000000}" name="مرکز هزینه" dataDxfId="130"/>
    <tableColumn id="2" xr3:uid="{00000000-0010-0000-0200-000002000000}" name="ساعت اضافه کاری" dataDxfId="129"/>
    <tableColumn id="3" xr3:uid="{00000000-0010-0000-0200-000003000000}" name="درصد" dataDxfId="128"/>
    <tableColumn id="4" xr3:uid="{00000000-0010-0000-0200-000004000000}" name="جمع پرداختی" dataDxfId="127"/>
    <tableColumn id="5" xr3:uid="{00000000-0010-0000-0200-000005000000}" name="درصد(جمع پرداختی)" dataDxfId="12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test4" displayName="test4" ref="C73:G82" totalsRowShown="0" headerRowDxfId="125" dataDxfId="123" headerRowBorderDxfId="124" tableBorderDxfId="122">
  <autoFilter ref="C73:G82" xr:uid="{00000000-0009-0000-0100-000007000000}">
    <filterColumn colId="3">
      <customFilters>
        <customFilter operator="notEqual" val="0"/>
      </customFilters>
    </filterColumn>
  </autoFilter>
  <tableColumns count="5">
    <tableColumn id="1" xr3:uid="{00000000-0010-0000-0300-000001000000}" name="مرکز هزینه" dataDxfId="121"/>
    <tableColumn id="2" xr3:uid="{00000000-0010-0000-0300-000002000000}" name="ساعت اضافه کاری" dataDxfId="120"/>
    <tableColumn id="3" xr3:uid="{00000000-0010-0000-0300-000003000000}" name="درصد" dataDxfId="119"/>
    <tableColumn id="4" xr3:uid="{00000000-0010-0000-0300-000004000000}" name="جمع پرداختی" dataDxfId="118"/>
    <tableColumn id="5" xr3:uid="{00000000-0010-0000-0300-000005000000}" name="درصد(جمع پرداختی)" dataDxfId="11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4000000}" name="test5" displayName="test5" ref="C213:G232" totalsRowShown="0" headerRowDxfId="116" dataDxfId="114" headerRowBorderDxfId="115" tableBorderDxfId="113">
  <autoFilter ref="C213:G232" xr:uid="{00000000-0009-0000-0100-00000B000000}">
    <filterColumn colId="3">
      <customFilters>
        <customFilter operator="notEqual" val="0"/>
      </customFilters>
    </filterColumn>
  </autoFilter>
  <tableColumns count="5">
    <tableColumn id="1" xr3:uid="{00000000-0010-0000-0400-000001000000}" name="مرکز هزینه" dataDxfId="112"/>
    <tableColumn id="2" xr3:uid="{00000000-0010-0000-0400-000002000000}" name="درصد" dataDxfId="111"/>
    <tableColumn id="3" xr3:uid="{00000000-0010-0000-0400-000003000000}" name="درصد2" dataDxfId="110"/>
    <tableColumn id="4" xr3:uid="{00000000-0010-0000-0400-000004000000}" name="جمع حقوق و مزایا" dataDxfId="109"/>
    <tableColumn id="5" xr3:uid="{00000000-0010-0000-0400-000005000000}" name="درصد(جمع حقوق و مزایا)" dataDxfId="10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5000000}" name="test6" displayName="test6" ref="C236:G245" totalsRowShown="0" dataDxfId="106" headerRowBorderDxfId="107" tableBorderDxfId="105">
  <autoFilter ref="C236:G245" xr:uid="{00000000-0009-0000-0100-00000C000000}">
    <filterColumn colId="3">
      <customFilters>
        <customFilter operator="notEqual" val="0"/>
      </customFilters>
    </filterColumn>
  </autoFilter>
  <tableColumns count="5">
    <tableColumn id="1" xr3:uid="{00000000-0010-0000-0500-000001000000}" name="مرکز هزینه" dataDxfId="104"/>
    <tableColumn id="2" xr3:uid="{00000000-0010-0000-0500-000002000000}" name="درصد" dataDxfId="103"/>
    <tableColumn id="3" xr3:uid="{00000000-0010-0000-0500-000003000000}" name="درصد2" dataDxfId="102"/>
    <tableColumn id="4" xr3:uid="{00000000-0010-0000-0500-000004000000}" name="جمع حقوق و مزایا" dataDxfId="101"/>
    <tableColumn id="5" xr3:uid="{00000000-0010-0000-0500-000005000000}" name="درصد(جمع حقوق و مزایا)" dataDxfId="100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6000000}" name="test7" displayName="test7" ref="C96:G115" totalsRowShown="0" headerRowDxfId="99" dataDxfId="97" headerRowBorderDxfId="98" tableBorderDxfId="96">
  <autoFilter ref="C96:G115" xr:uid="{00000000-0009-0000-0100-000005000000}">
    <filterColumn colId="3">
      <customFilters>
        <customFilter operator="notEqual" val="0"/>
      </customFilters>
    </filterColumn>
  </autoFilter>
  <tableColumns count="5">
    <tableColumn id="1" xr3:uid="{00000000-0010-0000-0600-000001000000}" name="مرکز هزینه" dataDxfId="95"/>
    <tableColumn id="2" xr3:uid="{00000000-0010-0000-0600-000002000000}" name="ساعت جمعه کاری" dataDxfId="94"/>
    <tableColumn id="3" xr3:uid="{00000000-0010-0000-0600-000003000000}" name="درصد" dataDxfId="93"/>
    <tableColumn id="4" xr3:uid="{00000000-0010-0000-0600-000004000000}" name="جمع پرداختی" dataDxfId="92"/>
    <tableColumn id="5" xr3:uid="{00000000-0010-0000-0600-000005000000}" name="درصد(جمع پرداختی)" dataDxfId="91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est8" displayName="test8" ref="C119:G128" totalsRowShown="0" headerRowDxfId="90" dataDxfId="88" headerRowBorderDxfId="89" tableBorderDxfId="87">
  <autoFilter ref="C119:G128" xr:uid="{00000000-0009-0000-0100-000008000000}">
    <filterColumn colId="3">
      <customFilters>
        <customFilter operator="notEqual" val="0"/>
      </customFilters>
    </filterColumn>
  </autoFilter>
  <tableColumns count="5">
    <tableColumn id="1" xr3:uid="{00000000-0010-0000-0700-000001000000}" name="مرکز هزینه" dataDxfId="86"/>
    <tableColumn id="2" xr3:uid="{00000000-0010-0000-0700-000002000000}" name="ساعت جمعه کاری" dataDxfId="85"/>
    <tableColumn id="3" xr3:uid="{00000000-0010-0000-0700-000003000000}" name="درصد" dataDxfId="84"/>
    <tableColumn id="4" xr3:uid="{00000000-0010-0000-0700-000004000000}" name="جمع پرداختی" dataDxfId="83"/>
    <tableColumn id="5" xr3:uid="{00000000-0010-0000-0700-000005000000}" name="درصد(جمع پرداختی)" dataDxfId="8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J75"/>
  <sheetViews>
    <sheetView rightToLeft="1" workbookViewId="0">
      <selection activeCell="E5" sqref="E5"/>
    </sheetView>
  </sheetViews>
  <sheetFormatPr defaultRowHeight="22.5" x14ac:dyDescent="0.55000000000000004"/>
  <cols>
    <col min="1" max="1" width="8.88671875" style="3"/>
    <col min="2" max="2" width="7.77734375" style="3" customWidth="1"/>
    <col min="3" max="3" width="7.44140625" style="3" bestFit="1" customWidth="1"/>
    <col min="4" max="4" width="7.44140625" style="3" customWidth="1"/>
    <col min="5" max="5" width="9.109375" style="3" bestFit="1" customWidth="1"/>
    <col min="6" max="6" width="9.6640625" style="6" bestFit="1" customWidth="1"/>
    <col min="7" max="7" width="16.21875" style="6" bestFit="1" customWidth="1"/>
    <col min="8" max="8" width="23.88671875" style="6" bestFit="1" customWidth="1"/>
    <col min="9" max="9" width="24.44140625" style="6" bestFit="1" customWidth="1"/>
    <col min="10" max="10" width="38.88671875" style="47" bestFit="1" customWidth="1"/>
    <col min="11" max="16384" width="8.88671875" style="3"/>
  </cols>
  <sheetData>
    <row r="1" spans="1:10" ht="24" x14ac:dyDescent="0.55000000000000004">
      <c r="A1" s="2" t="s">
        <v>194</v>
      </c>
      <c r="B1" s="2" t="s">
        <v>195</v>
      </c>
      <c r="C1" s="2" t="s">
        <v>97</v>
      </c>
      <c r="D1" s="2" t="s">
        <v>195</v>
      </c>
      <c r="E1" s="2" t="s">
        <v>211</v>
      </c>
      <c r="F1" s="5" t="s">
        <v>95</v>
      </c>
      <c r="G1" s="5" t="s">
        <v>2</v>
      </c>
      <c r="H1" s="5" t="s">
        <v>93</v>
      </c>
      <c r="I1" s="5" t="s">
        <v>94</v>
      </c>
      <c r="J1" s="46" t="s">
        <v>96</v>
      </c>
    </row>
    <row r="2" spans="1:10" x14ac:dyDescent="0.55000000000000004">
      <c r="A2" s="3">
        <v>1401</v>
      </c>
      <c r="B2" s="3">
        <v>1</v>
      </c>
      <c r="C2" s="4" t="s">
        <v>103</v>
      </c>
      <c r="D2" s="4">
        <v>1</v>
      </c>
      <c r="E2" s="4" t="s">
        <v>213</v>
      </c>
      <c r="F2" s="6" t="s">
        <v>3</v>
      </c>
      <c r="G2" s="6" t="s">
        <v>0</v>
      </c>
      <c r="H2" s="6" t="s">
        <v>5</v>
      </c>
      <c r="I2" s="6" t="s">
        <v>20</v>
      </c>
      <c r="J2" s="44" t="s">
        <v>166</v>
      </c>
    </row>
    <row r="3" spans="1:10" x14ac:dyDescent="0.55000000000000004">
      <c r="A3" s="3">
        <v>1402</v>
      </c>
      <c r="B3" s="3">
        <f>INDEX(A2:A13,B2)</f>
        <v>1401</v>
      </c>
      <c r="C3" s="4" t="s">
        <v>104</v>
      </c>
      <c r="D3" s="4" t="str">
        <f>INDEX(C2:C13,D2)</f>
        <v>فروردین</v>
      </c>
      <c r="E3" s="4" t="s">
        <v>214</v>
      </c>
      <c r="F3" s="6" t="s">
        <v>4</v>
      </c>
      <c r="G3" s="6" t="s">
        <v>1</v>
      </c>
      <c r="H3" s="6" t="s">
        <v>6</v>
      </c>
      <c r="I3" s="6" t="s">
        <v>21</v>
      </c>
      <c r="J3" s="44" t="s">
        <v>167</v>
      </c>
    </row>
    <row r="4" spans="1:10" x14ac:dyDescent="0.55000000000000004">
      <c r="A4" s="3">
        <v>1403</v>
      </c>
      <c r="C4" s="4" t="s">
        <v>105</v>
      </c>
      <c r="D4" s="4"/>
      <c r="E4" s="4" t="s">
        <v>215</v>
      </c>
      <c r="G4" s="6" t="s">
        <v>2</v>
      </c>
      <c r="H4" s="6" t="s">
        <v>7</v>
      </c>
      <c r="I4" s="6" t="s">
        <v>22</v>
      </c>
      <c r="J4" s="44" t="s">
        <v>182</v>
      </c>
    </row>
    <row r="5" spans="1:10" x14ac:dyDescent="0.55000000000000004">
      <c r="A5" s="3">
        <v>1404</v>
      </c>
      <c r="C5" s="4" t="s">
        <v>106</v>
      </c>
      <c r="D5" s="4"/>
      <c r="E5" s="4"/>
      <c r="H5" s="6" t="s">
        <v>8</v>
      </c>
      <c r="I5" s="6" t="s">
        <v>23</v>
      </c>
      <c r="J5" s="44" t="s">
        <v>199</v>
      </c>
    </row>
    <row r="6" spans="1:10" x14ac:dyDescent="0.55000000000000004">
      <c r="A6" s="3">
        <v>1405</v>
      </c>
      <c r="C6" s="4" t="s">
        <v>107</v>
      </c>
      <c r="D6" s="4"/>
      <c r="E6" s="4"/>
      <c r="H6" s="6" t="s">
        <v>9</v>
      </c>
      <c r="I6" s="6" t="s">
        <v>24</v>
      </c>
      <c r="J6" s="44" t="s">
        <v>168</v>
      </c>
    </row>
    <row r="7" spans="1:10" x14ac:dyDescent="0.55000000000000004">
      <c r="A7" s="3">
        <v>1406</v>
      </c>
      <c r="C7" s="4" t="s">
        <v>108</v>
      </c>
      <c r="D7" s="4"/>
      <c r="E7" s="4"/>
      <c r="H7" s="6" t="s">
        <v>10</v>
      </c>
      <c r="I7" s="6" t="s">
        <v>25</v>
      </c>
      <c r="J7" s="44" t="s">
        <v>169</v>
      </c>
    </row>
    <row r="8" spans="1:10" x14ac:dyDescent="0.55000000000000004">
      <c r="A8" s="3">
        <v>1407</v>
      </c>
      <c r="C8" s="4" t="s">
        <v>101</v>
      </c>
      <c r="D8" s="4"/>
      <c r="E8" s="4"/>
      <c r="H8" s="6" t="s">
        <v>11</v>
      </c>
      <c r="I8" s="6" t="s">
        <v>26</v>
      </c>
      <c r="J8" s="44" t="s">
        <v>170</v>
      </c>
    </row>
    <row r="9" spans="1:10" x14ac:dyDescent="0.55000000000000004">
      <c r="A9" s="3">
        <v>1408</v>
      </c>
      <c r="C9" s="4" t="s">
        <v>102</v>
      </c>
      <c r="D9" s="4"/>
      <c r="E9" s="4"/>
      <c r="H9" s="6" t="s">
        <v>12</v>
      </c>
      <c r="I9" s="6" t="s">
        <v>27</v>
      </c>
      <c r="J9" s="44" t="s">
        <v>200</v>
      </c>
    </row>
    <row r="10" spans="1:10" x14ac:dyDescent="0.55000000000000004">
      <c r="A10" s="3">
        <v>1409</v>
      </c>
      <c r="C10" s="4" t="s">
        <v>109</v>
      </c>
      <c r="D10" s="4"/>
      <c r="E10" s="4"/>
      <c r="H10" s="6" t="s">
        <v>13</v>
      </c>
      <c r="I10" s="6" t="s">
        <v>28</v>
      </c>
      <c r="J10" s="44" t="s">
        <v>171</v>
      </c>
    </row>
    <row r="11" spans="1:10" x14ac:dyDescent="0.55000000000000004">
      <c r="A11" s="3">
        <v>1410</v>
      </c>
      <c r="C11" s="4" t="s">
        <v>110</v>
      </c>
      <c r="D11" s="4"/>
      <c r="E11" s="4"/>
      <c r="H11" s="6" t="s">
        <v>14</v>
      </c>
      <c r="I11" s="6" t="s">
        <v>29</v>
      </c>
      <c r="J11" s="44" t="s">
        <v>193</v>
      </c>
    </row>
    <row r="12" spans="1:10" x14ac:dyDescent="0.55000000000000004">
      <c r="A12" s="3">
        <v>1411</v>
      </c>
      <c r="C12" s="4" t="s">
        <v>111</v>
      </c>
      <c r="D12" s="4"/>
      <c r="E12" s="4"/>
      <c r="H12" s="6" t="s">
        <v>15</v>
      </c>
      <c r="I12" s="6" t="s">
        <v>30</v>
      </c>
      <c r="J12" s="44" t="s">
        <v>197</v>
      </c>
    </row>
    <row r="13" spans="1:10" x14ac:dyDescent="0.55000000000000004">
      <c r="A13" s="3">
        <v>1412</v>
      </c>
      <c r="C13" s="4" t="s">
        <v>112</v>
      </c>
      <c r="D13" s="4"/>
      <c r="E13" s="4"/>
      <c r="H13" s="6" t="s">
        <v>16</v>
      </c>
      <c r="I13" s="6" t="s">
        <v>31</v>
      </c>
      <c r="J13" s="44" t="s">
        <v>183</v>
      </c>
    </row>
    <row r="14" spans="1:10" x14ac:dyDescent="0.55000000000000004">
      <c r="H14" s="6" t="s">
        <v>17</v>
      </c>
      <c r="I14" s="6" t="s">
        <v>32</v>
      </c>
      <c r="J14" s="44" t="s">
        <v>173</v>
      </c>
    </row>
    <row r="15" spans="1:10" x14ac:dyDescent="0.55000000000000004">
      <c r="H15" s="6" t="s">
        <v>18</v>
      </c>
      <c r="I15" s="6" t="s">
        <v>33</v>
      </c>
      <c r="J15" s="44" t="s">
        <v>196</v>
      </c>
    </row>
    <row r="16" spans="1:10" x14ac:dyDescent="0.55000000000000004">
      <c r="H16" s="6" t="s">
        <v>19</v>
      </c>
      <c r="I16" s="6" t="s">
        <v>34</v>
      </c>
      <c r="J16" s="44" t="s">
        <v>175</v>
      </c>
    </row>
    <row r="17" spans="9:10" x14ac:dyDescent="0.55000000000000004">
      <c r="I17" s="6" t="s">
        <v>35</v>
      </c>
      <c r="J17" s="44" t="s">
        <v>176</v>
      </c>
    </row>
    <row r="18" spans="9:10" x14ac:dyDescent="0.55000000000000004">
      <c r="I18" s="6" t="s">
        <v>36</v>
      </c>
      <c r="J18" s="44" t="s">
        <v>177</v>
      </c>
    </row>
    <row r="19" spans="9:10" x14ac:dyDescent="0.55000000000000004">
      <c r="I19" s="6" t="s">
        <v>37</v>
      </c>
      <c r="J19" s="44" t="s">
        <v>178</v>
      </c>
    </row>
    <row r="20" spans="9:10" x14ac:dyDescent="0.55000000000000004">
      <c r="I20" s="6" t="s">
        <v>38</v>
      </c>
      <c r="J20" s="44" t="s">
        <v>179</v>
      </c>
    </row>
    <row r="21" spans="9:10" x14ac:dyDescent="0.55000000000000004">
      <c r="I21" s="6" t="s">
        <v>39</v>
      </c>
      <c r="J21" s="44" t="s">
        <v>180</v>
      </c>
    </row>
    <row r="22" spans="9:10" x14ac:dyDescent="0.55000000000000004">
      <c r="I22" s="6" t="s">
        <v>40</v>
      </c>
      <c r="J22" s="44" t="s">
        <v>181</v>
      </c>
    </row>
    <row r="23" spans="9:10" x14ac:dyDescent="0.55000000000000004">
      <c r="I23" s="6" t="s">
        <v>41</v>
      </c>
      <c r="J23" s="44" t="s">
        <v>184</v>
      </c>
    </row>
    <row r="24" spans="9:10" x14ac:dyDescent="0.55000000000000004">
      <c r="I24" s="6" t="s">
        <v>42</v>
      </c>
      <c r="J24" s="44" t="s">
        <v>185</v>
      </c>
    </row>
    <row r="25" spans="9:10" x14ac:dyDescent="0.55000000000000004">
      <c r="I25" s="6" t="s">
        <v>43</v>
      </c>
      <c r="J25" s="44" t="s">
        <v>186</v>
      </c>
    </row>
    <row r="26" spans="9:10" x14ac:dyDescent="0.55000000000000004">
      <c r="I26" s="6" t="s">
        <v>44</v>
      </c>
      <c r="J26" s="44" t="s">
        <v>187</v>
      </c>
    </row>
    <row r="27" spans="9:10" x14ac:dyDescent="0.55000000000000004">
      <c r="I27" s="6" t="s">
        <v>45</v>
      </c>
      <c r="J27" s="44" t="s">
        <v>188</v>
      </c>
    </row>
    <row r="28" spans="9:10" x14ac:dyDescent="0.55000000000000004">
      <c r="I28" s="6" t="s">
        <v>46</v>
      </c>
      <c r="J28" s="44" t="s">
        <v>189</v>
      </c>
    </row>
    <row r="29" spans="9:10" x14ac:dyDescent="0.55000000000000004">
      <c r="I29" s="6" t="s">
        <v>47</v>
      </c>
      <c r="J29" s="44" t="s">
        <v>192</v>
      </c>
    </row>
    <row r="30" spans="9:10" x14ac:dyDescent="0.55000000000000004">
      <c r="I30" s="6" t="s">
        <v>48</v>
      </c>
      <c r="J30" s="44" t="s">
        <v>190</v>
      </c>
    </row>
    <row r="31" spans="9:10" x14ac:dyDescent="0.55000000000000004">
      <c r="I31" s="6" t="s">
        <v>49</v>
      </c>
      <c r="J31" s="44" t="s">
        <v>191</v>
      </c>
    </row>
    <row r="32" spans="9:10" x14ac:dyDescent="0.55000000000000004">
      <c r="I32" s="6" t="s">
        <v>50</v>
      </c>
      <c r="J32" s="44" t="s">
        <v>165</v>
      </c>
    </row>
    <row r="33" spans="9:9" x14ac:dyDescent="0.55000000000000004">
      <c r="I33" s="6" t="s">
        <v>51</v>
      </c>
    </row>
    <row r="34" spans="9:9" x14ac:dyDescent="0.55000000000000004">
      <c r="I34" s="6" t="s">
        <v>52</v>
      </c>
    </row>
    <row r="35" spans="9:9" x14ac:dyDescent="0.55000000000000004">
      <c r="I35" s="6" t="s">
        <v>53</v>
      </c>
    </row>
    <row r="36" spans="9:9" x14ac:dyDescent="0.55000000000000004">
      <c r="I36" s="6" t="s">
        <v>54</v>
      </c>
    </row>
    <row r="37" spans="9:9" x14ac:dyDescent="0.55000000000000004">
      <c r="I37" s="6" t="s">
        <v>55</v>
      </c>
    </row>
    <row r="38" spans="9:9" x14ac:dyDescent="0.55000000000000004">
      <c r="I38" s="6" t="s">
        <v>56</v>
      </c>
    </row>
    <row r="39" spans="9:9" x14ac:dyDescent="0.55000000000000004">
      <c r="I39" s="6" t="s">
        <v>57</v>
      </c>
    </row>
    <row r="40" spans="9:9" x14ac:dyDescent="0.55000000000000004">
      <c r="I40" s="6" t="s">
        <v>58</v>
      </c>
    </row>
    <row r="41" spans="9:9" x14ac:dyDescent="0.55000000000000004">
      <c r="I41" s="6" t="s">
        <v>59</v>
      </c>
    </row>
    <row r="42" spans="9:9" x14ac:dyDescent="0.55000000000000004">
      <c r="I42" s="6" t="s">
        <v>60</v>
      </c>
    </row>
    <row r="43" spans="9:9" x14ac:dyDescent="0.55000000000000004">
      <c r="I43" s="6" t="s">
        <v>135</v>
      </c>
    </row>
    <row r="44" spans="9:9" x14ac:dyDescent="0.55000000000000004">
      <c r="I44" s="6" t="s">
        <v>61</v>
      </c>
    </row>
    <row r="45" spans="9:9" x14ac:dyDescent="0.55000000000000004">
      <c r="I45" s="6" t="s">
        <v>62</v>
      </c>
    </row>
    <row r="46" spans="9:9" x14ac:dyDescent="0.55000000000000004">
      <c r="I46" s="6" t="s">
        <v>63</v>
      </c>
    </row>
    <row r="47" spans="9:9" x14ac:dyDescent="0.55000000000000004">
      <c r="I47" s="6" t="s">
        <v>64</v>
      </c>
    </row>
    <row r="48" spans="9:9" x14ac:dyDescent="0.55000000000000004">
      <c r="I48" s="6" t="s">
        <v>65</v>
      </c>
    </row>
    <row r="49" spans="9:9" x14ac:dyDescent="0.55000000000000004">
      <c r="I49" s="6" t="s">
        <v>66</v>
      </c>
    </row>
    <row r="50" spans="9:9" x14ac:dyDescent="0.55000000000000004">
      <c r="I50" s="6" t="s">
        <v>67</v>
      </c>
    </row>
    <row r="51" spans="9:9" x14ac:dyDescent="0.55000000000000004">
      <c r="I51" s="6" t="s">
        <v>68</v>
      </c>
    </row>
    <row r="52" spans="9:9" x14ac:dyDescent="0.55000000000000004">
      <c r="I52" s="6" t="s">
        <v>69</v>
      </c>
    </row>
    <row r="53" spans="9:9" x14ac:dyDescent="0.55000000000000004">
      <c r="I53" s="6" t="s">
        <v>70</v>
      </c>
    </row>
    <row r="54" spans="9:9" x14ac:dyDescent="0.55000000000000004">
      <c r="I54" s="6" t="s">
        <v>71</v>
      </c>
    </row>
    <row r="55" spans="9:9" x14ac:dyDescent="0.55000000000000004">
      <c r="I55" s="6" t="s">
        <v>72</v>
      </c>
    </row>
    <row r="56" spans="9:9" x14ac:dyDescent="0.55000000000000004">
      <c r="I56" s="6" t="s">
        <v>73</v>
      </c>
    </row>
    <row r="57" spans="9:9" x14ac:dyDescent="0.55000000000000004">
      <c r="I57" s="6" t="s">
        <v>74</v>
      </c>
    </row>
    <row r="58" spans="9:9" x14ac:dyDescent="0.55000000000000004">
      <c r="I58" s="6" t="s">
        <v>75</v>
      </c>
    </row>
    <row r="59" spans="9:9" x14ac:dyDescent="0.55000000000000004">
      <c r="I59" s="6" t="s">
        <v>76</v>
      </c>
    </row>
    <row r="60" spans="9:9" x14ac:dyDescent="0.55000000000000004">
      <c r="I60" s="6" t="s">
        <v>77</v>
      </c>
    </row>
    <row r="61" spans="9:9" x14ac:dyDescent="0.55000000000000004">
      <c r="I61" s="6" t="s">
        <v>78</v>
      </c>
    </row>
    <row r="62" spans="9:9" x14ac:dyDescent="0.55000000000000004">
      <c r="I62" s="6" t="s">
        <v>79</v>
      </c>
    </row>
    <row r="63" spans="9:9" x14ac:dyDescent="0.55000000000000004">
      <c r="I63" s="6" t="s">
        <v>80</v>
      </c>
    </row>
    <row r="64" spans="9:9" x14ac:dyDescent="0.55000000000000004">
      <c r="I64" s="6" t="s">
        <v>81</v>
      </c>
    </row>
    <row r="65" spans="9:9" x14ac:dyDescent="0.55000000000000004">
      <c r="I65" s="6" t="s">
        <v>82</v>
      </c>
    </row>
    <row r="66" spans="9:9" x14ac:dyDescent="0.55000000000000004">
      <c r="I66" s="6" t="s">
        <v>83</v>
      </c>
    </row>
    <row r="67" spans="9:9" x14ac:dyDescent="0.55000000000000004">
      <c r="I67" s="6" t="s">
        <v>84</v>
      </c>
    </row>
    <row r="68" spans="9:9" x14ac:dyDescent="0.55000000000000004">
      <c r="I68" s="6" t="s">
        <v>85</v>
      </c>
    </row>
    <row r="69" spans="9:9" x14ac:dyDescent="0.55000000000000004">
      <c r="I69" s="6" t="s">
        <v>86</v>
      </c>
    </row>
    <row r="70" spans="9:9" x14ac:dyDescent="0.55000000000000004">
      <c r="I70" s="6" t="s">
        <v>87</v>
      </c>
    </row>
    <row r="71" spans="9:9" x14ac:dyDescent="0.55000000000000004">
      <c r="I71" s="6" t="s">
        <v>88</v>
      </c>
    </row>
    <row r="72" spans="9:9" x14ac:dyDescent="0.55000000000000004">
      <c r="I72" s="6" t="s">
        <v>89</v>
      </c>
    </row>
    <row r="73" spans="9:9" x14ac:dyDescent="0.55000000000000004">
      <c r="I73" s="6" t="s">
        <v>90</v>
      </c>
    </row>
    <row r="74" spans="9:9" x14ac:dyDescent="0.55000000000000004">
      <c r="I74" s="6" t="s">
        <v>91</v>
      </c>
    </row>
    <row r="75" spans="9:9" x14ac:dyDescent="0.55000000000000004">
      <c r="I75" s="6" t="s">
        <v>92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X142"/>
  <sheetViews>
    <sheetView rightToLeft="1" zoomScaleNormal="100" workbookViewId="0">
      <pane xSplit="4" ySplit="1" topLeftCell="E131" activePane="bottomRight" state="frozen"/>
      <selection pane="topRight" activeCell="E1" sqref="E1"/>
      <selection pane="bottomLeft" activeCell="A2" sqref="A2"/>
      <selection pane="bottomRight" activeCell="I147" sqref="A139:I147"/>
    </sheetView>
  </sheetViews>
  <sheetFormatPr defaultRowHeight="22.5" x14ac:dyDescent="0.55000000000000004"/>
  <cols>
    <col min="1" max="1" width="7.33203125" style="10" bestFit="1" customWidth="1"/>
    <col min="2" max="2" width="6.5546875" style="10" bestFit="1" customWidth="1"/>
    <col min="3" max="3" width="11.109375" style="60" bestFit="1" customWidth="1"/>
    <col min="4" max="4" width="14.6640625" style="10" bestFit="1" customWidth="1"/>
    <col min="5" max="5" width="11.21875" style="10" bestFit="1" customWidth="1"/>
    <col min="6" max="6" width="11.6640625" style="10" bestFit="1" customWidth="1"/>
    <col min="7" max="7" width="12.88671875" style="10" bestFit="1" customWidth="1"/>
    <col min="8" max="8" width="19.109375" style="10" bestFit="1" customWidth="1"/>
    <col min="9" max="9" width="19.6640625" style="10" bestFit="1" customWidth="1"/>
    <col min="10" max="10" width="19.77734375" style="10" customWidth="1"/>
    <col min="11" max="11" width="10.44140625" style="10" bestFit="1" customWidth="1"/>
    <col min="12" max="12" width="10.88671875" style="10" bestFit="1" customWidth="1"/>
    <col min="13" max="13" width="13.44140625" style="10" bestFit="1" customWidth="1"/>
    <col min="14" max="15" width="12.33203125" style="10" bestFit="1" customWidth="1"/>
    <col min="16" max="16" width="10.44140625" style="10" bestFit="1" customWidth="1"/>
    <col min="17" max="17" width="11.6640625" style="10" bestFit="1" customWidth="1"/>
    <col min="18" max="18" width="11.6640625" style="10" customWidth="1"/>
    <col min="19" max="19" width="13.5546875" style="10" bestFit="1" customWidth="1"/>
    <col min="20" max="20" width="13.6640625" style="10" bestFit="1" customWidth="1"/>
    <col min="21" max="21" width="10" style="10" bestFit="1" customWidth="1"/>
    <col min="22" max="22" width="10.6640625" style="10" bestFit="1" customWidth="1"/>
    <col min="23" max="24" width="13.6640625" style="10" bestFit="1" customWidth="1"/>
    <col min="25" max="16384" width="8.88671875" style="13"/>
  </cols>
  <sheetData>
    <row r="1" spans="1:24" ht="58.5" x14ac:dyDescent="0.55000000000000004">
      <c r="A1" s="9" t="s">
        <v>194</v>
      </c>
      <c r="B1" s="9" t="s">
        <v>97</v>
      </c>
      <c r="C1" s="9" t="s">
        <v>98</v>
      </c>
      <c r="D1" s="9" t="s">
        <v>99</v>
      </c>
      <c r="E1" s="64" t="s">
        <v>211</v>
      </c>
      <c r="F1" s="9" t="s">
        <v>95</v>
      </c>
      <c r="G1" s="9" t="s">
        <v>2</v>
      </c>
      <c r="H1" s="9" t="s">
        <v>93</v>
      </c>
      <c r="I1" s="9" t="s">
        <v>94</v>
      </c>
      <c r="J1" s="9" t="s">
        <v>96</v>
      </c>
      <c r="K1" s="59" t="s">
        <v>152</v>
      </c>
      <c r="L1" s="59" t="s">
        <v>100</v>
      </c>
      <c r="M1" s="59" t="s">
        <v>155</v>
      </c>
      <c r="N1" s="59" t="s">
        <v>209</v>
      </c>
      <c r="O1" s="59" t="s">
        <v>210</v>
      </c>
      <c r="P1" s="59" t="s">
        <v>153</v>
      </c>
      <c r="Q1" s="59" t="s">
        <v>154</v>
      </c>
      <c r="R1" s="65" t="s">
        <v>212</v>
      </c>
      <c r="S1" s="59" t="s">
        <v>156</v>
      </c>
      <c r="T1" s="59" t="s">
        <v>149</v>
      </c>
      <c r="U1" s="59" t="s">
        <v>150</v>
      </c>
      <c r="V1" s="59" t="s">
        <v>151</v>
      </c>
      <c r="W1" s="59" t="s">
        <v>148</v>
      </c>
      <c r="X1" s="13"/>
    </row>
    <row r="2" spans="1:24" ht="18" x14ac:dyDescent="0.55000000000000004">
      <c r="A2" s="10">
        <v>1401</v>
      </c>
      <c r="B2" s="10" t="s">
        <v>103</v>
      </c>
      <c r="C2" s="11">
        <v>3040200007</v>
      </c>
      <c r="D2" s="11" t="s">
        <v>118</v>
      </c>
      <c r="E2" s="11" t="s">
        <v>213</v>
      </c>
      <c r="F2" s="10" t="s">
        <v>3</v>
      </c>
      <c r="G2" s="10" t="s">
        <v>0</v>
      </c>
      <c r="H2" s="10" t="s">
        <v>7</v>
      </c>
      <c r="I2" s="10" t="s">
        <v>75</v>
      </c>
      <c r="J2" s="10" t="s">
        <v>181</v>
      </c>
      <c r="L2" s="39"/>
      <c r="M2" s="12">
        <v>23444591</v>
      </c>
      <c r="N2" s="38">
        <v>13.75</v>
      </c>
      <c r="O2" s="12">
        <v>3313636</v>
      </c>
      <c r="P2" s="38"/>
      <c r="Q2" s="12"/>
      <c r="R2" s="12"/>
      <c r="S2" s="12"/>
      <c r="T2" s="12">
        <v>125458227</v>
      </c>
      <c r="U2" s="12">
        <v>5009323</v>
      </c>
      <c r="V2" s="12">
        <v>18707145</v>
      </c>
      <c r="W2" s="12">
        <v>116083903</v>
      </c>
      <c r="X2" s="13"/>
    </row>
    <row r="3" spans="1:24" ht="18" x14ac:dyDescent="0.55000000000000004">
      <c r="A3" s="10">
        <v>1401</v>
      </c>
      <c r="B3" s="10" t="s">
        <v>103</v>
      </c>
      <c r="C3" s="11">
        <v>3040200009</v>
      </c>
      <c r="D3" s="11" t="s">
        <v>119</v>
      </c>
      <c r="E3" s="11" t="s">
        <v>213</v>
      </c>
      <c r="F3" s="10" t="s">
        <v>3</v>
      </c>
      <c r="G3" s="10" t="s">
        <v>2</v>
      </c>
      <c r="H3" s="10" t="s">
        <v>9</v>
      </c>
      <c r="I3" s="10" t="s">
        <v>135</v>
      </c>
      <c r="J3" s="10" t="s">
        <v>176</v>
      </c>
      <c r="L3" s="39"/>
      <c r="M3" s="12">
        <v>11667270</v>
      </c>
      <c r="N3" s="38">
        <v>45.48</v>
      </c>
      <c r="O3" s="12">
        <v>0</v>
      </c>
      <c r="P3" s="38"/>
      <c r="Q3" s="12"/>
      <c r="R3" s="12"/>
      <c r="S3" s="12"/>
      <c r="T3" s="12">
        <v>93230837</v>
      </c>
      <c r="U3" s="12">
        <v>914879</v>
      </c>
      <c r="V3" s="12">
        <v>20239497</v>
      </c>
      <c r="W3" s="12">
        <v>87593409</v>
      </c>
      <c r="X3" s="13"/>
    </row>
    <row r="4" spans="1:24" ht="18" x14ac:dyDescent="0.55000000000000004">
      <c r="A4" s="10">
        <v>1401</v>
      </c>
      <c r="B4" s="10" t="s">
        <v>103</v>
      </c>
      <c r="C4" s="11">
        <v>3040200012</v>
      </c>
      <c r="D4" s="11" t="s">
        <v>120</v>
      </c>
      <c r="E4" s="11" t="s">
        <v>213</v>
      </c>
      <c r="F4" s="10" t="s">
        <v>3</v>
      </c>
      <c r="G4" s="10" t="s">
        <v>1</v>
      </c>
      <c r="H4" s="10" t="s">
        <v>17</v>
      </c>
      <c r="I4" s="10" t="s">
        <v>78</v>
      </c>
      <c r="J4" s="10" t="s">
        <v>171</v>
      </c>
      <c r="L4" s="39"/>
      <c r="M4" s="12">
        <v>18648570</v>
      </c>
      <c r="N4" s="38">
        <v>27.4</v>
      </c>
      <c r="O4" s="12">
        <v>0</v>
      </c>
      <c r="P4" s="38"/>
      <c r="Q4" s="12"/>
      <c r="R4" s="12"/>
      <c r="S4" s="12"/>
      <c r="T4" s="12">
        <v>152525315</v>
      </c>
      <c r="U4" s="12">
        <v>6744804</v>
      </c>
      <c r="V4" s="12">
        <v>24504771</v>
      </c>
      <c r="W4" s="12">
        <v>140062731</v>
      </c>
      <c r="X4" s="13"/>
    </row>
    <row r="5" spans="1:24" ht="18" x14ac:dyDescent="0.55000000000000004">
      <c r="A5" s="10">
        <v>1401</v>
      </c>
      <c r="B5" s="10" t="s">
        <v>103</v>
      </c>
      <c r="C5" s="11">
        <v>3040200014</v>
      </c>
      <c r="D5" s="11" t="s">
        <v>121</v>
      </c>
      <c r="E5" s="11" t="s">
        <v>213</v>
      </c>
      <c r="F5" s="10" t="s">
        <v>3</v>
      </c>
      <c r="G5" s="10" t="s">
        <v>1</v>
      </c>
      <c r="H5" s="10" t="s">
        <v>10</v>
      </c>
      <c r="I5" s="10" t="s">
        <v>65</v>
      </c>
      <c r="J5" s="10" t="s">
        <v>166</v>
      </c>
      <c r="L5" s="39">
        <v>155.86000000000001</v>
      </c>
      <c r="M5" s="12">
        <v>49906441</v>
      </c>
      <c r="N5" s="38">
        <v>82.28</v>
      </c>
      <c r="O5" s="12">
        <v>18505269</v>
      </c>
      <c r="P5" s="38">
        <v>104</v>
      </c>
      <c r="Q5" s="12">
        <v>7631119</v>
      </c>
      <c r="R5" s="12"/>
      <c r="S5" s="12"/>
      <c r="T5" s="12">
        <v>151394558</v>
      </c>
      <c r="U5" s="12">
        <v>6767006</v>
      </c>
      <c r="V5" s="12">
        <v>18707145</v>
      </c>
      <c r="W5" s="12">
        <v>140262551</v>
      </c>
      <c r="X5" s="13"/>
    </row>
    <row r="6" spans="1:24" ht="18" x14ac:dyDescent="0.55000000000000004">
      <c r="A6" s="10">
        <v>1401</v>
      </c>
      <c r="B6" s="10" t="s">
        <v>103</v>
      </c>
      <c r="C6" s="11">
        <v>3040200015</v>
      </c>
      <c r="D6" s="11" t="s">
        <v>122</v>
      </c>
      <c r="E6" s="11" t="s">
        <v>213</v>
      </c>
      <c r="F6" s="10" t="s">
        <v>3</v>
      </c>
      <c r="G6" s="10" t="s">
        <v>2</v>
      </c>
      <c r="H6" s="10" t="s">
        <v>8</v>
      </c>
      <c r="I6" s="10" t="s">
        <v>57</v>
      </c>
      <c r="J6" s="10" t="s">
        <v>173</v>
      </c>
      <c r="L6" s="39">
        <v>5.18</v>
      </c>
      <c r="M6" s="12">
        <v>2396036</v>
      </c>
      <c r="N6" s="38"/>
      <c r="O6" s="12">
        <v>0</v>
      </c>
      <c r="P6" s="38"/>
      <c r="Q6" s="12"/>
      <c r="R6" s="12"/>
      <c r="S6" s="12"/>
      <c r="T6" s="12">
        <v>100817386</v>
      </c>
      <c r="U6" s="12">
        <v>1738453</v>
      </c>
      <c r="V6" s="12">
        <v>17457225</v>
      </c>
      <c r="W6" s="12">
        <v>95005580</v>
      </c>
      <c r="X6" s="13"/>
    </row>
    <row r="7" spans="1:24" ht="18" x14ac:dyDescent="0.55000000000000004">
      <c r="A7" s="10">
        <v>1401</v>
      </c>
      <c r="B7" s="10" t="s">
        <v>103</v>
      </c>
      <c r="C7" s="11">
        <v>3040200017</v>
      </c>
      <c r="D7" s="11" t="s">
        <v>123</v>
      </c>
      <c r="E7" s="11" t="s">
        <v>213</v>
      </c>
      <c r="F7" s="10" t="s">
        <v>3</v>
      </c>
      <c r="G7" s="10" t="s">
        <v>2</v>
      </c>
      <c r="H7" s="10" t="s">
        <v>9</v>
      </c>
      <c r="I7" s="10" t="s">
        <v>60</v>
      </c>
      <c r="J7" s="10" t="s">
        <v>177</v>
      </c>
      <c r="L7" s="39">
        <v>55.51</v>
      </c>
      <c r="M7" s="12">
        <v>25019936</v>
      </c>
      <c r="N7" s="38">
        <v>8.16</v>
      </c>
      <c r="O7" s="12">
        <v>1051573</v>
      </c>
      <c r="P7" s="38"/>
      <c r="Q7" s="12"/>
      <c r="R7" s="12"/>
      <c r="S7" s="12"/>
      <c r="T7" s="12">
        <v>118432184</v>
      </c>
      <c r="U7" s="12">
        <v>3902718</v>
      </c>
      <c r="V7" s="12">
        <v>18108225</v>
      </c>
      <c r="W7" s="12">
        <v>110304213</v>
      </c>
      <c r="X7" s="13"/>
    </row>
    <row r="8" spans="1:24" ht="18" x14ac:dyDescent="0.55000000000000004">
      <c r="A8" s="10">
        <v>1401</v>
      </c>
      <c r="B8" s="10" t="s">
        <v>103</v>
      </c>
      <c r="C8" s="11">
        <v>3040200019</v>
      </c>
      <c r="D8" s="11" t="s">
        <v>124</v>
      </c>
      <c r="E8" s="11" t="s">
        <v>213</v>
      </c>
      <c r="F8" s="10" t="s">
        <v>3</v>
      </c>
      <c r="G8" s="10" t="s">
        <v>2</v>
      </c>
      <c r="H8" s="10" t="s">
        <v>9</v>
      </c>
      <c r="I8" s="10" t="s">
        <v>58</v>
      </c>
      <c r="J8" s="10" t="s">
        <v>178</v>
      </c>
      <c r="L8" s="39">
        <v>21.17</v>
      </c>
      <c r="M8" s="12">
        <v>6939191</v>
      </c>
      <c r="N8" s="38"/>
      <c r="O8" s="12">
        <v>0</v>
      </c>
      <c r="P8" s="38"/>
      <c r="Q8" s="12"/>
      <c r="R8" s="12"/>
      <c r="S8" s="12"/>
      <c r="T8" s="12">
        <v>83241172</v>
      </c>
      <c r="U8" s="12"/>
      <c r="V8" s="12">
        <v>18707145</v>
      </c>
      <c r="W8" s="12">
        <v>78876171</v>
      </c>
      <c r="X8" s="13"/>
    </row>
    <row r="9" spans="1:24" ht="18" x14ac:dyDescent="0.55000000000000004">
      <c r="A9" s="10">
        <v>1401</v>
      </c>
      <c r="B9" s="10" t="s">
        <v>103</v>
      </c>
      <c r="C9" s="11">
        <v>3040200020</v>
      </c>
      <c r="D9" s="11" t="s">
        <v>125</v>
      </c>
      <c r="E9" s="11" t="s">
        <v>213</v>
      </c>
      <c r="F9" s="10" t="s">
        <v>3</v>
      </c>
      <c r="G9" s="10" t="s">
        <v>2</v>
      </c>
      <c r="H9" s="10" t="s">
        <v>9</v>
      </c>
      <c r="I9" s="10" t="s">
        <v>62</v>
      </c>
      <c r="J9" s="10" t="s">
        <v>176</v>
      </c>
      <c r="L9" s="39">
        <v>37</v>
      </c>
      <c r="M9" s="12">
        <v>16481818</v>
      </c>
      <c r="N9" s="38">
        <v>4.6100000000000003</v>
      </c>
      <c r="O9" s="12">
        <v>587576</v>
      </c>
      <c r="P9" s="38"/>
      <c r="Q9" s="12"/>
      <c r="R9" s="12"/>
      <c r="S9" s="12"/>
      <c r="T9" s="12">
        <v>114402727</v>
      </c>
      <c r="U9" s="12">
        <v>3903773</v>
      </c>
      <c r="V9" s="12">
        <v>18707145</v>
      </c>
      <c r="W9" s="12">
        <v>106133953</v>
      </c>
      <c r="X9" s="13"/>
    </row>
    <row r="10" spans="1:24" ht="18" x14ac:dyDescent="0.55000000000000004">
      <c r="A10" s="10">
        <v>1401</v>
      </c>
      <c r="B10" s="10" t="s">
        <v>103</v>
      </c>
      <c r="C10" s="11">
        <v>3040200024</v>
      </c>
      <c r="D10" s="11" t="s">
        <v>126</v>
      </c>
      <c r="E10" s="11" t="s">
        <v>213</v>
      </c>
      <c r="F10" s="10" t="s">
        <v>3</v>
      </c>
      <c r="G10" s="10" t="s">
        <v>1</v>
      </c>
      <c r="H10" s="10" t="s">
        <v>10</v>
      </c>
      <c r="I10" s="10" t="s">
        <v>64</v>
      </c>
      <c r="J10" s="10" t="s">
        <v>166</v>
      </c>
      <c r="L10" s="39">
        <v>92.05</v>
      </c>
      <c r="M10" s="12">
        <v>27623175</v>
      </c>
      <c r="N10" s="38">
        <v>101.6</v>
      </c>
      <c r="O10" s="12">
        <v>21143400</v>
      </c>
      <c r="P10" s="38">
        <v>88</v>
      </c>
      <c r="Q10" s="12">
        <v>6051792</v>
      </c>
      <c r="R10" s="12"/>
      <c r="S10" s="12"/>
      <c r="T10" s="12">
        <v>122726824</v>
      </c>
      <c r="U10" s="12">
        <v>4347372</v>
      </c>
      <c r="V10" s="12">
        <v>17457225</v>
      </c>
      <c r="W10" s="12">
        <v>114306099</v>
      </c>
      <c r="X10" s="13"/>
    </row>
    <row r="11" spans="1:24" ht="18" x14ac:dyDescent="0.55000000000000004">
      <c r="A11" s="10">
        <v>1401</v>
      </c>
      <c r="B11" s="10" t="s">
        <v>103</v>
      </c>
      <c r="C11" s="11">
        <v>3040200025</v>
      </c>
      <c r="D11" s="11" t="s">
        <v>127</v>
      </c>
      <c r="E11" s="11" t="s">
        <v>213</v>
      </c>
      <c r="F11" s="10" t="s">
        <v>3</v>
      </c>
      <c r="G11" s="10" t="s">
        <v>1</v>
      </c>
      <c r="H11" s="10" t="s">
        <v>12</v>
      </c>
      <c r="I11" s="10" t="s">
        <v>70</v>
      </c>
      <c r="J11" s="10" t="s">
        <v>167</v>
      </c>
      <c r="L11" s="39">
        <v>26.23</v>
      </c>
      <c r="M11" s="12">
        <v>8808001</v>
      </c>
      <c r="N11" s="38">
        <v>16.73</v>
      </c>
      <c r="O11" s="12">
        <v>1605234</v>
      </c>
      <c r="P11" s="38"/>
      <c r="Q11" s="12"/>
      <c r="R11" s="12"/>
      <c r="S11" s="12"/>
      <c r="T11" s="12">
        <v>79933626</v>
      </c>
      <c r="U11" s="12">
        <v>486027</v>
      </c>
      <c r="V11" s="12">
        <v>17457225</v>
      </c>
      <c r="W11" s="12">
        <v>75374246</v>
      </c>
      <c r="X11" s="13"/>
    </row>
    <row r="12" spans="1:24" ht="18" x14ac:dyDescent="0.55000000000000004">
      <c r="A12" s="10">
        <v>1401</v>
      </c>
      <c r="B12" s="10" t="s">
        <v>103</v>
      </c>
      <c r="C12" s="11">
        <v>3040200060</v>
      </c>
      <c r="D12" s="11" t="s">
        <v>128</v>
      </c>
      <c r="E12" s="11" t="s">
        <v>213</v>
      </c>
      <c r="F12" s="10" t="s">
        <v>3</v>
      </c>
      <c r="G12" s="10" t="s">
        <v>1</v>
      </c>
      <c r="H12" s="10" t="s">
        <v>14</v>
      </c>
      <c r="I12" s="10" t="s">
        <v>73</v>
      </c>
      <c r="J12" s="10" t="s">
        <v>193</v>
      </c>
      <c r="L12" s="39">
        <v>26.18</v>
      </c>
      <c r="M12" s="12">
        <v>11219691</v>
      </c>
      <c r="N12" s="38"/>
      <c r="O12" s="12">
        <v>0</v>
      </c>
      <c r="P12" s="38"/>
      <c r="Q12" s="12"/>
      <c r="R12" s="12"/>
      <c r="S12" s="12"/>
      <c r="T12" s="12">
        <v>104160253</v>
      </c>
      <c r="U12" s="12">
        <v>2057550</v>
      </c>
      <c r="V12" s="12">
        <v>18108225</v>
      </c>
      <c r="W12" s="12">
        <v>97877450</v>
      </c>
      <c r="X12" s="13"/>
    </row>
    <row r="13" spans="1:24" ht="18" x14ac:dyDescent="0.55000000000000004">
      <c r="A13" s="10">
        <v>1401</v>
      </c>
      <c r="B13" s="10" t="s">
        <v>103</v>
      </c>
      <c r="C13" s="11">
        <v>3040200074</v>
      </c>
      <c r="D13" s="11" t="s">
        <v>129</v>
      </c>
      <c r="E13" s="11" t="s">
        <v>213</v>
      </c>
      <c r="F13" s="10" t="s">
        <v>3</v>
      </c>
      <c r="G13" s="10" t="s">
        <v>0</v>
      </c>
      <c r="H13" s="10" t="s">
        <v>11</v>
      </c>
      <c r="I13" s="10" t="s">
        <v>68</v>
      </c>
      <c r="J13" s="10" t="s">
        <v>169</v>
      </c>
      <c r="L13" s="39">
        <v>26.88</v>
      </c>
      <c r="M13" s="12">
        <v>7698409</v>
      </c>
      <c r="N13" s="38"/>
      <c r="O13" s="12">
        <v>0</v>
      </c>
      <c r="P13" s="38"/>
      <c r="Q13" s="12"/>
      <c r="R13" s="12"/>
      <c r="S13" s="12"/>
      <c r="T13" s="12">
        <v>69198409</v>
      </c>
      <c r="U13" s="12"/>
      <c r="V13" s="12">
        <v>17457225</v>
      </c>
      <c r="W13" s="12">
        <v>65125056</v>
      </c>
      <c r="X13" s="13"/>
    </row>
    <row r="14" spans="1:24" ht="18" x14ac:dyDescent="0.55000000000000004">
      <c r="A14" s="10">
        <v>1401</v>
      </c>
      <c r="B14" s="10" t="s">
        <v>103</v>
      </c>
      <c r="C14" s="11">
        <v>3040200075</v>
      </c>
      <c r="D14" s="11" t="s">
        <v>130</v>
      </c>
      <c r="E14" s="11" t="s">
        <v>213</v>
      </c>
      <c r="F14" s="10" t="s">
        <v>3</v>
      </c>
      <c r="G14" s="10" t="s">
        <v>1</v>
      </c>
      <c r="H14" s="10" t="s">
        <v>10</v>
      </c>
      <c r="I14" s="10" t="s">
        <v>64</v>
      </c>
      <c r="J14" s="10" t="s">
        <v>166</v>
      </c>
      <c r="L14" s="39">
        <v>139.96</v>
      </c>
      <c r="M14" s="12">
        <v>37228907</v>
      </c>
      <c r="N14" s="38">
        <v>52.83</v>
      </c>
      <c r="O14" s="12">
        <v>6579940</v>
      </c>
      <c r="P14" s="38">
        <v>176</v>
      </c>
      <c r="Q14" s="12">
        <v>10728025</v>
      </c>
      <c r="R14" s="12"/>
      <c r="S14" s="12"/>
      <c r="T14" s="12">
        <v>104835662</v>
      </c>
      <c r="U14" s="12">
        <v>4092187</v>
      </c>
      <c r="V14" s="12">
        <v>14078407</v>
      </c>
      <c r="W14" s="12">
        <v>97458513</v>
      </c>
      <c r="X14" s="13"/>
    </row>
    <row r="15" spans="1:24" ht="18" x14ac:dyDescent="0.55000000000000004">
      <c r="A15" s="10">
        <v>1401</v>
      </c>
      <c r="B15" s="10" t="s">
        <v>103</v>
      </c>
      <c r="C15" s="11">
        <v>3040200076</v>
      </c>
      <c r="D15" s="11" t="s">
        <v>131</v>
      </c>
      <c r="E15" s="11" t="s">
        <v>213</v>
      </c>
      <c r="F15" s="10" t="s">
        <v>3</v>
      </c>
      <c r="G15" s="10" t="s">
        <v>2</v>
      </c>
      <c r="H15" s="10" t="s">
        <v>9</v>
      </c>
      <c r="I15" s="10" t="s">
        <v>60</v>
      </c>
      <c r="J15" s="10" t="s">
        <v>177</v>
      </c>
      <c r="L15" s="39">
        <v>10.23</v>
      </c>
      <c r="M15" s="12">
        <v>4884091</v>
      </c>
      <c r="N15" s="38"/>
      <c r="O15" s="12">
        <v>0</v>
      </c>
      <c r="P15" s="38"/>
      <c r="Q15" s="12"/>
      <c r="R15" s="12"/>
      <c r="S15" s="12"/>
      <c r="T15" s="12">
        <v>97384091</v>
      </c>
      <c r="U15" s="12">
        <v>2231074</v>
      </c>
      <c r="V15" s="12">
        <v>17457225</v>
      </c>
      <c r="W15" s="12">
        <v>91079664</v>
      </c>
      <c r="X15" s="13"/>
    </row>
    <row r="16" spans="1:24" ht="18" x14ac:dyDescent="0.55000000000000004">
      <c r="A16" s="10">
        <v>1401</v>
      </c>
      <c r="B16" s="10" t="s">
        <v>103</v>
      </c>
      <c r="C16" s="11">
        <v>3040210003</v>
      </c>
      <c r="D16" s="11" t="s">
        <v>208</v>
      </c>
      <c r="E16" s="11" t="s">
        <v>213</v>
      </c>
      <c r="F16" s="10" t="s">
        <v>4</v>
      </c>
      <c r="G16" s="10" t="s">
        <v>0</v>
      </c>
      <c r="H16" s="10" t="s">
        <v>16</v>
      </c>
      <c r="I16" s="10" t="s">
        <v>75</v>
      </c>
      <c r="J16" s="10" t="s">
        <v>186</v>
      </c>
      <c r="K16" s="41"/>
      <c r="L16" s="39">
        <v>25</v>
      </c>
      <c r="M16" s="12">
        <v>10652340</v>
      </c>
      <c r="N16" s="38"/>
      <c r="O16" s="12">
        <v>0</v>
      </c>
      <c r="P16" s="38"/>
      <c r="Q16" s="12"/>
      <c r="R16" s="12"/>
      <c r="S16" s="12"/>
      <c r="T16" s="12">
        <v>107381074</v>
      </c>
      <c r="U16" s="12">
        <v>1820391</v>
      </c>
      <c r="V16" s="12">
        <v>24162488</v>
      </c>
      <c r="W16" s="12">
        <v>99922769</v>
      </c>
      <c r="X16" s="13"/>
    </row>
    <row r="17" spans="1:24" ht="18" x14ac:dyDescent="0.55000000000000004">
      <c r="A17" s="10">
        <v>1401</v>
      </c>
      <c r="B17" s="10" t="s">
        <v>103</v>
      </c>
      <c r="C17" s="11">
        <v>3040210004</v>
      </c>
      <c r="D17" s="11" t="s">
        <v>132</v>
      </c>
      <c r="E17" s="11" t="s">
        <v>213</v>
      </c>
      <c r="F17" s="10" t="s">
        <v>4</v>
      </c>
      <c r="G17" s="10" t="s">
        <v>0</v>
      </c>
      <c r="H17" s="10" t="s">
        <v>6</v>
      </c>
      <c r="I17" s="10" t="s">
        <v>39</v>
      </c>
      <c r="J17" s="10" t="s">
        <v>190</v>
      </c>
      <c r="L17" s="39">
        <v>34.380000000000003</v>
      </c>
      <c r="M17" s="12">
        <v>21044974</v>
      </c>
      <c r="N17" s="38"/>
      <c r="O17" s="12"/>
      <c r="P17" s="38"/>
      <c r="Q17" s="12"/>
      <c r="R17" s="12"/>
      <c r="S17" s="12"/>
      <c r="T17" s="12">
        <v>135433328</v>
      </c>
      <c r="U17" s="12">
        <v>6020808</v>
      </c>
      <c r="V17" s="12">
        <v>18108225</v>
      </c>
      <c r="W17" s="12">
        <v>125187267</v>
      </c>
      <c r="X17" s="13"/>
    </row>
    <row r="18" spans="1:24" ht="18" x14ac:dyDescent="0.55000000000000004">
      <c r="A18" s="10">
        <v>1401</v>
      </c>
      <c r="B18" s="10" t="s">
        <v>103</v>
      </c>
      <c r="C18" s="11">
        <v>3040210005</v>
      </c>
      <c r="D18" s="11" t="s">
        <v>133</v>
      </c>
      <c r="E18" s="11" t="s">
        <v>213</v>
      </c>
      <c r="F18" s="10" t="s">
        <v>4</v>
      </c>
      <c r="G18" s="10" t="s">
        <v>0</v>
      </c>
      <c r="H18" s="10" t="s">
        <v>7</v>
      </c>
      <c r="I18" s="10" t="s">
        <v>46</v>
      </c>
      <c r="J18" s="10" t="s">
        <v>191</v>
      </c>
      <c r="L18" s="39">
        <v>13.9</v>
      </c>
      <c r="M18" s="12">
        <v>6280273</v>
      </c>
      <c r="N18" s="38"/>
      <c r="O18" s="12">
        <v>0</v>
      </c>
      <c r="P18" s="38"/>
      <c r="Q18" s="12"/>
      <c r="R18" s="12"/>
      <c r="S18" s="12"/>
      <c r="T18" s="12">
        <v>94646940</v>
      </c>
      <c r="U18" s="12">
        <v>1942169</v>
      </c>
      <c r="V18" s="12">
        <v>18108225</v>
      </c>
      <c r="W18" s="12">
        <v>88479518</v>
      </c>
      <c r="X18" s="13"/>
    </row>
    <row r="19" spans="1:24" ht="18" x14ac:dyDescent="0.55000000000000004">
      <c r="A19" s="10">
        <v>1401</v>
      </c>
      <c r="B19" s="10" t="s">
        <v>103</v>
      </c>
      <c r="C19" s="10">
        <v>5010100004</v>
      </c>
      <c r="D19" s="14" t="s">
        <v>134</v>
      </c>
      <c r="E19" s="11" t="s">
        <v>213</v>
      </c>
      <c r="F19" s="10" t="s">
        <v>4</v>
      </c>
      <c r="G19" s="10" t="s">
        <v>0</v>
      </c>
      <c r="H19" s="10" t="s">
        <v>5</v>
      </c>
      <c r="I19" s="10" t="s">
        <v>20</v>
      </c>
      <c r="J19" s="10" t="s">
        <v>189</v>
      </c>
      <c r="L19" s="39"/>
      <c r="M19" s="12">
        <v>0</v>
      </c>
      <c r="N19" s="38"/>
      <c r="O19" s="12">
        <v>0</v>
      </c>
      <c r="P19" s="38"/>
      <c r="Q19" s="12"/>
      <c r="R19" s="12">
        <v>1</v>
      </c>
      <c r="S19" s="12">
        <v>6244305</v>
      </c>
      <c r="T19" s="12">
        <v>180282819</v>
      </c>
      <c r="U19" s="12">
        <v>8696865</v>
      </c>
      <c r="V19" s="12">
        <v>50957629</v>
      </c>
      <c r="W19" s="12">
        <v>159695841</v>
      </c>
      <c r="X19" s="13"/>
    </row>
    <row r="20" spans="1:24" ht="18" x14ac:dyDescent="0.55000000000000004">
      <c r="A20" s="10">
        <v>1401</v>
      </c>
      <c r="B20" s="10" t="s">
        <v>104</v>
      </c>
      <c r="C20" s="11">
        <v>3040200007</v>
      </c>
      <c r="D20" s="11" t="s">
        <v>118</v>
      </c>
      <c r="E20" s="11" t="s">
        <v>213</v>
      </c>
      <c r="F20" s="10" t="s">
        <v>3</v>
      </c>
      <c r="G20" s="10" t="s">
        <v>0</v>
      </c>
      <c r="H20" s="10" t="s">
        <v>7</v>
      </c>
      <c r="I20" s="10" t="s">
        <v>75</v>
      </c>
      <c r="J20" s="10" t="s">
        <v>181</v>
      </c>
      <c r="L20" s="39">
        <v>23.76</v>
      </c>
      <c r="M20" s="12">
        <v>12250636</v>
      </c>
      <c r="N20" s="38">
        <v>8.65</v>
      </c>
      <c r="O20" s="12">
        <v>4458682</v>
      </c>
      <c r="P20" s="38"/>
      <c r="Q20" s="12"/>
      <c r="R20" s="12"/>
      <c r="S20" s="12"/>
      <c r="T20" s="12">
        <v>115409318</v>
      </c>
      <c r="U20" s="12">
        <v>4004431</v>
      </c>
      <c r="V20" s="12">
        <v>18707145</v>
      </c>
      <c r="W20" s="12">
        <v>107039886</v>
      </c>
      <c r="X20" s="13"/>
    </row>
    <row r="21" spans="1:24" ht="18" x14ac:dyDescent="0.55000000000000004">
      <c r="A21" s="10">
        <v>1401</v>
      </c>
      <c r="B21" s="10" t="s">
        <v>104</v>
      </c>
      <c r="C21" s="11">
        <v>3040200009</v>
      </c>
      <c r="D21" s="11" t="s">
        <v>119</v>
      </c>
      <c r="E21" s="11" t="s">
        <v>213</v>
      </c>
      <c r="F21" s="10" t="s">
        <v>3</v>
      </c>
      <c r="G21" s="10" t="s">
        <v>2</v>
      </c>
      <c r="H21" s="10" t="s">
        <v>9</v>
      </c>
      <c r="I21" s="10" t="s">
        <v>135</v>
      </c>
      <c r="J21" s="10" t="s">
        <v>176</v>
      </c>
      <c r="L21" s="39">
        <v>66.430000000000007</v>
      </c>
      <c r="M21" s="12">
        <v>23812461</v>
      </c>
      <c r="N21" s="38">
        <v>32.229999999999997</v>
      </c>
      <c r="O21" s="12">
        <v>8366194</v>
      </c>
      <c r="P21" s="38"/>
      <c r="Q21" s="12"/>
      <c r="R21" s="12"/>
      <c r="S21" s="12"/>
      <c r="T21" s="12">
        <v>113742222</v>
      </c>
      <c r="U21" s="12">
        <v>2966017</v>
      </c>
      <c r="V21" s="12">
        <v>20239497</v>
      </c>
      <c r="W21" s="12">
        <v>106053656</v>
      </c>
      <c r="X21" s="13"/>
    </row>
    <row r="22" spans="1:24" ht="18" x14ac:dyDescent="0.55000000000000004">
      <c r="A22" s="10">
        <v>1401</v>
      </c>
      <c r="B22" s="10" t="s">
        <v>104</v>
      </c>
      <c r="C22" s="11">
        <v>3040200012</v>
      </c>
      <c r="D22" s="11" t="s">
        <v>120</v>
      </c>
      <c r="E22" s="11" t="s">
        <v>213</v>
      </c>
      <c r="F22" s="10" t="s">
        <v>3</v>
      </c>
      <c r="G22" s="10" t="s">
        <v>1</v>
      </c>
      <c r="H22" s="10" t="s">
        <v>17</v>
      </c>
      <c r="I22" s="10" t="s">
        <v>78</v>
      </c>
      <c r="J22" s="10" t="s">
        <v>171</v>
      </c>
      <c r="L22" s="39">
        <v>32.909999999999997</v>
      </c>
      <c r="M22" s="12">
        <v>22403239</v>
      </c>
      <c r="N22" s="38">
        <v>8.66</v>
      </c>
      <c r="O22" s="12">
        <v>5898574</v>
      </c>
      <c r="P22" s="38"/>
      <c r="Q22" s="12"/>
      <c r="R22" s="12">
        <v>5</v>
      </c>
      <c r="S22" s="12">
        <v>17825360</v>
      </c>
      <c r="T22" s="12">
        <v>180003918</v>
      </c>
      <c r="U22" s="12">
        <v>7710127</v>
      </c>
      <c r="V22" s="12">
        <v>24504771</v>
      </c>
      <c r="W22" s="12">
        <v>166576011</v>
      </c>
      <c r="X22" s="13"/>
    </row>
    <row r="23" spans="1:24" ht="18" x14ac:dyDescent="0.55000000000000004">
      <c r="A23" s="10">
        <v>1401</v>
      </c>
      <c r="B23" s="10" t="s">
        <v>104</v>
      </c>
      <c r="C23" s="11">
        <v>3040200014</v>
      </c>
      <c r="D23" s="11" t="s">
        <v>121</v>
      </c>
      <c r="E23" s="11" t="s">
        <v>213</v>
      </c>
      <c r="F23" s="10" t="s">
        <v>3</v>
      </c>
      <c r="G23" s="10" t="s">
        <v>1</v>
      </c>
      <c r="H23" s="10" t="s">
        <v>10</v>
      </c>
      <c r="I23" s="10" t="s">
        <v>65</v>
      </c>
      <c r="J23" s="10" t="s">
        <v>166</v>
      </c>
      <c r="L23" s="39">
        <v>115.56</v>
      </c>
      <c r="M23" s="12">
        <v>37002915</v>
      </c>
      <c r="N23" s="38">
        <v>84.63</v>
      </c>
      <c r="O23" s="12">
        <v>14927563</v>
      </c>
      <c r="P23" s="38">
        <v>8.23</v>
      </c>
      <c r="Q23" s="12">
        <v>604619</v>
      </c>
      <c r="R23" s="12"/>
      <c r="S23" s="12"/>
      <c r="T23" s="12">
        <v>127886826</v>
      </c>
      <c r="U23" s="12">
        <v>4416232</v>
      </c>
      <c r="V23" s="12">
        <v>18707145</v>
      </c>
      <c r="W23" s="12">
        <v>119105593</v>
      </c>
      <c r="X23" s="13"/>
    </row>
    <row r="24" spans="1:24" ht="18" x14ac:dyDescent="0.55000000000000004">
      <c r="A24" s="10">
        <v>1401</v>
      </c>
      <c r="B24" s="10" t="s">
        <v>104</v>
      </c>
      <c r="C24" s="11">
        <v>3040200015</v>
      </c>
      <c r="D24" s="11" t="s">
        <v>122</v>
      </c>
      <c r="E24" s="11" t="s">
        <v>213</v>
      </c>
      <c r="F24" s="10" t="s">
        <v>3</v>
      </c>
      <c r="G24" s="10" t="s">
        <v>2</v>
      </c>
      <c r="H24" s="10" t="s">
        <v>8</v>
      </c>
      <c r="I24" s="10" t="s">
        <v>57</v>
      </c>
      <c r="J24" s="10" t="s">
        <v>173</v>
      </c>
      <c r="L24" s="39">
        <v>5.18</v>
      </c>
      <c r="M24" s="12">
        <v>2396036</v>
      </c>
      <c r="N24" s="38"/>
      <c r="O24" s="12">
        <v>0</v>
      </c>
      <c r="P24" s="38"/>
      <c r="Q24" s="12"/>
      <c r="R24" s="12"/>
      <c r="S24" s="12"/>
      <c r="T24" s="12">
        <v>100817386</v>
      </c>
      <c r="U24" s="12">
        <v>1738454</v>
      </c>
      <c r="V24" s="12">
        <v>17457225</v>
      </c>
      <c r="W24" s="12">
        <v>95005579</v>
      </c>
      <c r="X24" s="13"/>
    </row>
    <row r="25" spans="1:24" ht="18" x14ac:dyDescent="0.55000000000000004">
      <c r="A25" s="10">
        <v>1401</v>
      </c>
      <c r="B25" s="10" t="s">
        <v>104</v>
      </c>
      <c r="C25" s="11">
        <v>3040200017</v>
      </c>
      <c r="D25" s="11" t="s">
        <v>123</v>
      </c>
      <c r="E25" s="11" t="s">
        <v>213</v>
      </c>
      <c r="F25" s="10" t="s">
        <v>3</v>
      </c>
      <c r="G25" s="10" t="s">
        <v>2</v>
      </c>
      <c r="H25" s="10" t="s">
        <v>9</v>
      </c>
      <c r="I25" s="10" t="s">
        <v>60</v>
      </c>
      <c r="J25" s="10" t="s">
        <v>177</v>
      </c>
      <c r="L25" s="39">
        <v>58.7</v>
      </c>
      <c r="M25" s="12">
        <v>26454583</v>
      </c>
      <c r="N25" s="38">
        <v>22.38</v>
      </c>
      <c r="O25" s="12">
        <v>5709615</v>
      </c>
      <c r="P25" s="38"/>
      <c r="Q25" s="12"/>
      <c r="R25" s="12"/>
      <c r="S25" s="12"/>
      <c r="T25" s="12">
        <v>124524873</v>
      </c>
      <c r="U25" s="12">
        <v>4511987</v>
      </c>
      <c r="V25" s="12">
        <v>18108225</v>
      </c>
      <c r="W25" s="12">
        <v>115787633</v>
      </c>
      <c r="X25" s="13"/>
    </row>
    <row r="26" spans="1:24" ht="18" x14ac:dyDescent="0.55000000000000004">
      <c r="A26" s="10">
        <v>1401</v>
      </c>
      <c r="B26" s="10" t="s">
        <v>104</v>
      </c>
      <c r="C26" s="11">
        <v>3040200019</v>
      </c>
      <c r="D26" s="11" t="s">
        <v>124</v>
      </c>
      <c r="E26" s="11" t="s">
        <v>213</v>
      </c>
      <c r="F26" s="10" t="s">
        <v>3</v>
      </c>
      <c r="G26" s="10" t="s">
        <v>2</v>
      </c>
      <c r="H26" s="10" t="s">
        <v>9</v>
      </c>
      <c r="I26" s="10" t="s">
        <v>58</v>
      </c>
      <c r="J26" s="10" t="s">
        <v>178</v>
      </c>
      <c r="L26" s="39">
        <v>43.03</v>
      </c>
      <c r="M26" s="12">
        <v>14030534</v>
      </c>
      <c r="N26" s="38">
        <v>14.03</v>
      </c>
      <c r="O26" s="12">
        <v>3418749</v>
      </c>
      <c r="P26" s="38"/>
      <c r="Q26" s="12"/>
      <c r="R26" s="12"/>
      <c r="S26" s="12"/>
      <c r="T26" s="12">
        <v>93751264</v>
      </c>
      <c r="U26" s="12">
        <v>954343</v>
      </c>
      <c r="V26" s="12">
        <v>18707145</v>
      </c>
      <c r="W26" s="12">
        <v>88431920</v>
      </c>
      <c r="X26" s="13"/>
    </row>
    <row r="27" spans="1:24" ht="18" x14ac:dyDescent="0.55000000000000004">
      <c r="A27" s="10">
        <v>1401</v>
      </c>
      <c r="B27" s="10" t="s">
        <v>104</v>
      </c>
      <c r="C27" s="11">
        <v>3040200020</v>
      </c>
      <c r="D27" s="11" t="s">
        <v>125</v>
      </c>
      <c r="E27" s="11" t="s">
        <v>213</v>
      </c>
      <c r="F27" s="10" t="s">
        <v>3</v>
      </c>
      <c r="G27" s="10" t="s">
        <v>2</v>
      </c>
      <c r="H27" s="10" t="s">
        <v>9</v>
      </c>
      <c r="I27" s="10" t="s">
        <v>62</v>
      </c>
      <c r="J27" s="10" t="s">
        <v>176</v>
      </c>
      <c r="L27" s="39">
        <v>79.98</v>
      </c>
      <c r="M27" s="12">
        <v>35628939</v>
      </c>
      <c r="N27" s="38">
        <v>36.96</v>
      </c>
      <c r="O27" s="12">
        <v>10973031</v>
      </c>
      <c r="P27" s="38"/>
      <c r="Q27" s="12"/>
      <c r="R27" s="12"/>
      <c r="S27" s="12"/>
      <c r="T27" s="12">
        <v>143935303</v>
      </c>
      <c r="U27" s="12">
        <v>6857030</v>
      </c>
      <c r="V27" s="12">
        <v>18707145</v>
      </c>
      <c r="W27" s="12">
        <v>132713272</v>
      </c>
      <c r="X27" s="13"/>
    </row>
    <row r="28" spans="1:24" ht="18" x14ac:dyDescent="0.55000000000000004">
      <c r="A28" s="10">
        <v>1401</v>
      </c>
      <c r="B28" s="10" t="s">
        <v>104</v>
      </c>
      <c r="C28" s="11">
        <v>3040200024</v>
      </c>
      <c r="D28" s="11" t="s">
        <v>126</v>
      </c>
      <c r="E28" s="11" t="s">
        <v>213</v>
      </c>
      <c r="F28" s="10" t="s">
        <v>3</v>
      </c>
      <c r="G28" s="10" t="s">
        <v>1</v>
      </c>
      <c r="H28" s="10" t="s">
        <v>10</v>
      </c>
      <c r="I28" s="10" t="s">
        <v>64</v>
      </c>
      <c r="J28" s="10" t="s">
        <v>166</v>
      </c>
      <c r="L28" s="39">
        <v>132.1</v>
      </c>
      <c r="M28" s="12">
        <v>39641732</v>
      </c>
      <c r="N28" s="38">
        <v>100.75</v>
      </c>
      <c r="O28" s="12">
        <v>19066357</v>
      </c>
      <c r="P28" s="38">
        <v>185.4</v>
      </c>
      <c r="Q28" s="12">
        <v>12752776</v>
      </c>
      <c r="R28" s="12"/>
      <c r="S28" s="12"/>
      <c r="T28" s="12">
        <v>139369322</v>
      </c>
      <c r="U28" s="12">
        <v>6011622</v>
      </c>
      <c r="V28" s="12">
        <v>17457225</v>
      </c>
      <c r="W28" s="12">
        <v>129284347</v>
      </c>
      <c r="X28" s="13"/>
    </row>
    <row r="29" spans="1:24" ht="18" x14ac:dyDescent="0.55000000000000004">
      <c r="A29" s="10">
        <v>1401</v>
      </c>
      <c r="B29" s="10" t="s">
        <v>104</v>
      </c>
      <c r="C29" s="11">
        <v>3040200025</v>
      </c>
      <c r="D29" s="11" t="s">
        <v>127</v>
      </c>
      <c r="E29" s="11" t="s">
        <v>213</v>
      </c>
      <c r="F29" s="10" t="s">
        <v>3</v>
      </c>
      <c r="G29" s="10" t="s">
        <v>1</v>
      </c>
      <c r="H29" s="10" t="s">
        <v>12</v>
      </c>
      <c r="I29" s="10" t="s">
        <v>70</v>
      </c>
      <c r="J29" s="10" t="s">
        <v>167</v>
      </c>
      <c r="L29" s="39">
        <v>62.85</v>
      </c>
      <c r="M29" s="12">
        <v>21102269</v>
      </c>
      <c r="N29" s="38">
        <v>65.180000000000007</v>
      </c>
      <c r="O29" s="12">
        <v>12008876</v>
      </c>
      <c r="P29" s="38"/>
      <c r="Q29" s="12"/>
      <c r="R29" s="12"/>
      <c r="S29" s="12"/>
      <c r="T29" s="12">
        <v>102631536</v>
      </c>
      <c r="U29" s="12">
        <v>2755819</v>
      </c>
      <c r="V29" s="12">
        <v>17457225</v>
      </c>
      <c r="W29" s="12">
        <v>95802364</v>
      </c>
      <c r="X29" s="13"/>
    </row>
    <row r="30" spans="1:24" ht="18" x14ac:dyDescent="0.55000000000000004">
      <c r="A30" s="10">
        <v>1401</v>
      </c>
      <c r="B30" s="10" t="s">
        <v>104</v>
      </c>
      <c r="C30" s="11">
        <v>3040200060</v>
      </c>
      <c r="D30" s="11" t="s">
        <v>128</v>
      </c>
      <c r="E30" s="11" t="s">
        <v>213</v>
      </c>
      <c r="F30" s="10" t="s">
        <v>3</v>
      </c>
      <c r="G30" s="10" t="s">
        <v>1</v>
      </c>
      <c r="H30" s="10" t="s">
        <v>14</v>
      </c>
      <c r="I30" s="10" t="s">
        <v>73</v>
      </c>
      <c r="J30" s="10" t="s">
        <v>193</v>
      </c>
      <c r="L30" s="39">
        <v>55.86</v>
      </c>
      <c r="M30" s="12">
        <v>23939150</v>
      </c>
      <c r="N30" s="38">
        <v>13.9</v>
      </c>
      <c r="O30" s="12">
        <v>4456453</v>
      </c>
      <c r="P30" s="38"/>
      <c r="Q30" s="12"/>
      <c r="R30" s="12"/>
      <c r="S30" s="12"/>
      <c r="T30" s="12">
        <v>121336165</v>
      </c>
      <c r="U30" s="12">
        <v>3775141</v>
      </c>
      <c r="V30" s="12">
        <v>18108225</v>
      </c>
      <c r="W30" s="12">
        <v>113335771</v>
      </c>
      <c r="X30" s="13"/>
    </row>
    <row r="31" spans="1:24" ht="18" x14ac:dyDescent="0.55000000000000004">
      <c r="A31" s="10">
        <v>1401</v>
      </c>
      <c r="B31" s="10" t="s">
        <v>104</v>
      </c>
      <c r="C31" s="11">
        <v>3040200074</v>
      </c>
      <c r="D31" s="11" t="s">
        <v>129</v>
      </c>
      <c r="E31" s="11" t="s">
        <v>213</v>
      </c>
      <c r="F31" s="10" t="s">
        <v>3</v>
      </c>
      <c r="G31" s="10" t="s">
        <v>0</v>
      </c>
      <c r="H31" s="10" t="s">
        <v>11</v>
      </c>
      <c r="I31" s="10" t="s">
        <v>68</v>
      </c>
      <c r="J31" s="10" t="s">
        <v>169</v>
      </c>
      <c r="L31" s="39">
        <v>24.8</v>
      </c>
      <c r="M31" s="12">
        <v>7101818</v>
      </c>
      <c r="N31" s="38">
        <v>7.7</v>
      </c>
      <c r="O31" s="12">
        <v>2205000</v>
      </c>
      <c r="P31" s="38"/>
      <c r="Q31" s="12"/>
      <c r="R31" s="12"/>
      <c r="S31" s="12"/>
      <c r="T31" s="12">
        <v>70806818</v>
      </c>
      <c r="U31" s="12"/>
      <c r="V31" s="12">
        <v>17457225</v>
      </c>
      <c r="W31" s="12">
        <v>66733465</v>
      </c>
      <c r="X31" s="13"/>
    </row>
    <row r="32" spans="1:24" ht="18" x14ac:dyDescent="0.55000000000000004">
      <c r="A32" s="10">
        <v>1401</v>
      </c>
      <c r="B32" s="10" t="s">
        <v>104</v>
      </c>
      <c r="C32" s="11">
        <v>3040200075</v>
      </c>
      <c r="D32" s="11" t="s">
        <v>130</v>
      </c>
      <c r="E32" s="11" t="s">
        <v>213</v>
      </c>
      <c r="F32" s="10" t="s">
        <v>3</v>
      </c>
      <c r="G32" s="10" t="s">
        <v>1</v>
      </c>
      <c r="H32" s="10" t="s">
        <v>10</v>
      </c>
      <c r="I32" s="10" t="s">
        <v>64</v>
      </c>
      <c r="J32" s="10" t="s">
        <v>166</v>
      </c>
      <c r="L32" s="39">
        <v>150.43</v>
      </c>
      <c r="M32" s="12">
        <v>40012873</v>
      </c>
      <c r="N32" s="38">
        <v>91.8</v>
      </c>
      <c r="O32" s="12">
        <v>14183285</v>
      </c>
      <c r="P32" s="38">
        <v>222.21</v>
      </c>
      <c r="Q32" s="12">
        <v>13546570</v>
      </c>
      <c r="R32" s="12"/>
      <c r="S32" s="12"/>
      <c r="T32" s="12">
        <v>130113228</v>
      </c>
      <c r="U32" s="12">
        <v>5086012</v>
      </c>
      <c r="V32" s="12">
        <v>17457225</v>
      </c>
      <c r="W32" s="12">
        <v>120953863</v>
      </c>
      <c r="X32" s="13"/>
    </row>
    <row r="33" spans="1:24" ht="18" x14ac:dyDescent="0.55000000000000004">
      <c r="A33" s="10">
        <v>1401</v>
      </c>
      <c r="B33" s="10" t="s">
        <v>104</v>
      </c>
      <c r="C33" s="11">
        <v>3040200076</v>
      </c>
      <c r="D33" s="11" t="s">
        <v>131</v>
      </c>
      <c r="E33" s="11" t="s">
        <v>213</v>
      </c>
      <c r="F33" s="10" t="s">
        <v>3</v>
      </c>
      <c r="G33" s="10" t="s">
        <v>2</v>
      </c>
      <c r="H33" s="10" t="s">
        <v>9</v>
      </c>
      <c r="I33" s="10" t="s">
        <v>60</v>
      </c>
      <c r="J33" s="10" t="s">
        <v>177</v>
      </c>
      <c r="L33" s="39">
        <v>40.159999999999997</v>
      </c>
      <c r="M33" s="12">
        <v>19170455</v>
      </c>
      <c r="N33" s="38">
        <v>24.11</v>
      </c>
      <c r="O33" s="12">
        <v>8118182</v>
      </c>
      <c r="P33" s="38"/>
      <c r="Q33" s="12"/>
      <c r="R33" s="12"/>
      <c r="S33" s="12"/>
      <c r="T33" s="12">
        <v>119788637</v>
      </c>
      <c r="U33" s="12">
        <v>4471528</v>
      </c>
      <c r="V33" s="12">
        <v>17457225</v>
      </c>
      <c r="W33" s="12">
        <v>111243756</v>
      </c>
      <c r="X33" s="13"/>
    </row>
    <row r="34" spans="1:24" ht="18" x14ac:dyDescent="0.55000000000000004">
      <c r="A34" s="10">
        <v>1401</v>
      </c>
      <c r="B34" s="10" t="s">
        <v>104</v>
      </c>
      <c r="C34" s="11">
        <v>3040210003</v>
      </c>
      <c r="D34" s="11" t="s">
        <v>208</v>
      </c>
      <c r="E34" s="11" t="s">
        <v>213</v>
      </c>
      <c r="F34" s="10" t="s">
        <v>4</v>
      </c>
      <c r="G34" s="10" t="s">
        <v>0</v>
      </c>
      <c r="H34" s="10" t="s">
        <v>16</v>
      </c>
      <c r="I34" s="10" t="s">
        <v>75</v>
      </c>
      <c r="J34" s="10" t="s">
        <v>186</v>
      </c>
      <c r="L34" s="39">
        <v>49.56</v>
      </c>
      <c r="M34" s="12">
        <v>21120039</v>
      </c>
      <c r="N34" s="38"/>
      <c r="O34" s="12">
        <v>0</v>
      </c>
      <c r="P34" s="38"/>
      <c r="Q34" s="12"/>
      <c r="R34" s="12"/>
      <c r="S34" s="12"/>
      <c r="T34" s="12">
        <v>117848773</v>
      </c>
      <c r="U34" s="12">
        <v>2867161</v>
      </c>
      <c r="V34" s="12">
        <v>24162488</v>
      </c>
      <c r="W34" s="12">
        <v>109343698</v>
      </c>
      <c r="X34" s="13"/>
    </row>
    <row r="35" spans="1:24" ht="18" x14ac:dyDescent="0.55000000000000004">
      <c r="A35" s="10">
        <v>1401</v>
      </c>
      <c r="B35" s="10" t="s">
        <v>104</v>
      </c>
      <c r="C35" s="11">
        <v>3040210004</v>
      </c>
      <c r="D35" s="11" t="s">
        <v>132</v>
      </c>
      <c r="E35" s="11" t="s">
        <v>213</v>
      </c>
      <c r="F35" s="10" t="s">
        <v>4</v>
      </c>
      <c r="G35" s="10" t="s">
        <v>0</v>
      </c>
      <c r="H35" s="10" t="s">
        <v>6</v>
      </c>
      <c r="I35" s="10" t="s">
        <v>39</v>
      </c>
      <c r="J35" s="10" t="s">
        <v>190</v>
      </c>
      <c r="L35" s="39">
        <v>37.76</v>
      </c>
      <c r="M35" s="12">
        <v>23115807</v>
      </c>
      <c r="N35" s="38"/>
      <c r="O35" s="12">
        <v>0</v>
      </c>
      <c r="P35" s="38"/>
      <c r="Q35" s="12"/>
      <c r="R35" s="12"/>
      <c r="S35" s="12"/>
      <c r="T35" s="12">
        <v>137504161</v>
      </c>
      <c r="U35" s="12">
        <v>6227890</v>
      </c>
      <c r="V35" s="12">
        <v>18108225</v>
      </c>
      <c r="W35" s="12">
        <v>127051018</v>
      </c>
      <c r="X35" s="13"/>
    </row>
    <row r="36" spans="1:24" ht="18" x14ac:dyDescent="0.55000000000000004">
      <c r="A36" s="10">
        <v>1401</v>
      </c>
      <c r="B36" s="10" t="s">
        <v>104</v>
      </c>
      <c r="C36" s="11">
        <v>3040210005</v>
      </c>
      <c r="D36" s="11" t="s">
        <v>133</v>
      </c>
      <c r="E36" s="11" t="s">
        <v>213</v>
      </c>
      <c r="F36" s="10" t="s">
        <v>4</v>
      </c>
      <c r="G36" s="10" t="s">
        <v>0</v>
      </c>
      <c r="H36" s="10" t="s">
        <v>7</v>
      </c>
      <c r="I36" s="10" t="s">
        <v>46</v>
      </c>
      <c r="J36" s="10" t="s">
        <v>191</v>
      </c>
      <c r="L36" s="39">
        <v>17.68</v>
      </c>
      <c r="M36" s="12">
        <v>7989652</v>
      </c>
      <c r="N36" s="38"/>
      <c r="O36" s="12">
        <v>0</v>
      </c>
      <c r="P36" s="38"/>
      <c r="Q36" s="12"/>
      <c r="R36" s="12"/>
      <c r="S36" s="12"/>
      <c r="T36" s="12">
        <v>96356319</v>
      </c>
      <c r="U36" s="12">
        <v>2113106</v>
      </c>
      <c r="V36" s="12">
        <v>18108225</v>
      </c>
      <c r="W36" s="12">
        <v>90017960</v>
      </c>
      <c r="X36" s="13"/>
    </row>
    <row r="37" spans="1:24" ht="18" x14ac:dyDescent="0.55000000000000004">
      <c r="A37" s="10">
        <v>1401</v>
      </c>
      <c r="B37" s="10" t="s">
        <v>104</v>
      </c>
      <c r="C37" s="11">
        <v>5010100004</v>
      </c>
      <c r="D37" s="14" t="s">
        <v>134</v>
      </c>
      <c r="E37" s="11" t="s">
        <v>213</v>
      </c>
      <c r="F37" s="10" t="s">
        <v>4</v>
      </c>
      <c r="G37" s="10" t="s">
        <v>0</v>
      </c>
      <c r="H37" s="10" t="s">
        <v>5</v>
      </c>
      <c r="I37" s="10" t="s">
        <v>20</v>
      </c>
      <c r="J37" s="10" t="s">
        <v>189</v>
      </c>
      <c r="L37" s="39"/>
      <c r="M37" s="12">
        <v>0</v>
      </c>
      <c r="N37" s="38"/>
      <c r="O37" s="12">
        <v>0</v>
      </c>
      <c r="P37" s="38"/>
      <c r="Q37" s="12"/>
      <c r="R37" s="12">
        <v>2</v>
      </c>
      <c r="S37" s="12">
        <v>12488610</v>
      </c>
      <c r="T37" s="12">
        <v>186527124</v>
      </c>
      <c r="U37" s="12">
        <v>8696865</v>
      </c>
      <c r="V37" s="12">
        <v>50957629</v>
      </c>
      <c r="W37" s="12">
        <v>165940146</v>
      </c>
      <c r="X37" s="13"/>
    </row>
    <row r="38" spans="1:24" ht="18" x14ac:dyDescent="0.55000000000000004">
      <c r="A38" s="10">
        <v>1401</v>
      </c>
      <c r="B38" s="10" t="s">
        <v>105</v>
      </c>
      <c r="C38" s="10">
        <v>3040200007</v>
      </c>
      <c r="D38" s="14" t="s">
        <v>118</v>
      </c>
      <c r="E38" s="11" t="s">
        <v>213</v>
      </c>
      <c r="F38" s="10" t="s">
        <v>3</v>
      </c>
      <c r="G38" s="10" t="s">
        <v>0</v>
      </c>
      <c r="H38" s="10" t="s">
        <v>7</v>
      </c>
      <c r="I38" s="10" t="s">
        <v>75</v>
      </c>
      <c r="J38" s="10" t="s">
        <v>181</v>
      </c>
      <c r="L38" s="39">
        <v>65.98</v>
      </c>
      <c r="M38" s="12">
        <v>34011409</v>
      </c>
      <c r="N38" s="38">
        <v>15.5</v>
      </c>
      <c r="O38" s="12">
        <v>7989545</v>
      </c>
      <c r="P38" s="38"/>
      <c r="Q38" s="12"/>
      <c r="R38" s="12"/>
      <c r="S38" s="12"/>
      <c r="T38" s="12">
        <v>140700954</v>
      </c>
      <c r="U38" s="12">
        <v>6533596</v>
      </c>
      <c r="V38" s="12">
        <v>18707145</v>
      </c>
      <c r="W38" s="12">
        <v>129802357</v>
      </c>
      <c r="X38" s="13"/>
    </row>
    <row r="39" spans="1:24" ht="18" x14ac:dyDescent="0.55000000000000004">
      <c r="A39" s="10">
        <v>1401</v>
      </c>
      <c r="B39" s="10" t="s">
        <v>105</v>
      </c>
      <c r="C39" s="10">
        <v>3040200009</v>
      </c>
      <c r="D39" s="14" t="s">
        <v>119</v>
      </c>
      <c r="E39" s="11" t="s">
        <v>213</v>
      </c>
      <c r="F39" s="10" t="s">
        <v>3</v>
      </c>
      <c r="G39" s="10" t="s">
        <v>2</v>
      </c>
      <c r="H39" s="10" t="s">
        <v>9</v>
      </c>
      <c r="I39" s="10" t="s">
        <v>135</v>
      </c>
      <c r="J39" s="10" t="s">
        <v>176</v>
      </c>
      <c r="L39" s="39">
        <v>70.36</v>
      </c>
      <c r="M39" s="12">
        <v>25222332</v>
      </c>
      <c r="N39" s="38">
        <v>3.78</v>
      </c>
      <c r="O39" s="12">
        <v>387458</v>
      </c>
      <c r="P39" s="38"/>
      <c r="Q39" s="12"/>
      <c r="R39" s="12"/>
      <c r="S39" s="12"/>
      <c r="T39" s="12">
        <v>107173357</v>
      </c>
      <c r="U39" s="12">
        <v>2309131</v>
      </c>
      <c r="V39" s="12">
        <v>20239497</v>
      </c>
      <c r="W39" s="12">
        <v>100141677</v>
      </c>
      <c r="X39" s="13"/>
    </row>
    <row r="40" spans="1:24" ht="18" x14ac:dyDescent="0.55000000000000004">
      <c r="A40" s="10">
        <v>1401</v>
      </c>
      <c r="B40" s="10" t="s">
        <v>105</v>
      </c>
      <c r="C40" s="10">
        <v>3040200012</v>
      </c>
      <c r="D40" s="14" t="s">
        <v>120</v>
      </c>
      <c r="E40" s="11" t="s">
        <v>213</v>
      </c>
      <c r="F40" s="10" t="s">
        <v>3</v>
      </c>
      <c r="G40" s="10" t="s">
        <v>1</v>
      </c>
      <c r="H40" s="10" t="s">
        <v>17</v>
      </c>
      <c r="I40" s="10" t="s">
        <v>78</v>
      </c>
      <c r="J40" s="10" t="s">
        <v>171</v>
      </c>
      <c r="L40" s="39">
        <v>37.53</v>
      </c>
      <c r="M40" s="12">
        <v>25545364</v>
      </c>
      <c r="N40" s="38"/>
      <c r="O40" s="12">
        <v>0</v>
      </c>
      <c r="P40" s="38"/>
      <c r="Q40" s="12"/>
      <c r="R40" s="12">
        <v>3</v>
      </c>
      <c r="S40" s="12">
        <v>13369020</v>
      </c>
      <c r="T40" s="12">
        <v>172791129</v>
      </c>
      <c r="U40" s="12">
        <v>7434483</v>
      </c>
      <c r="V40" s="12">
        <v>24504771</v>
      </c>
      <c r="W40" s="12">
        <v>159638866</v>
      </c>
      <c r="X40" s="13"/>
    </row>
    <row r="41" spans="1:24" ht="18" x14ac:dyDescent="0.55000000000000004">
      <c r="A41" s="10">
        <v>1401</v>
      </c>
      <c r="B41" s="10" t="s">
        <v>105</v>
      </c>
      <c r="C41" s="10">
        <v>3040200014</v>
      </c>
      <c r="D41" s="14" t="s">
        <v>121</v>
      </c>
      <c r="E41" s="11" t="s">
        <v>213</v>
      </c>
      <c r="F41" s="10" t="s">
        <v>3</v>
      </c>
      <c r="G41" s="10" t="s">
        <v>1</v>
      </c>
      <c r="H41" s="10" t="s">
        <v>10</v>
      </c>
      <c r="I41" s="10" t="s">
        <v>65</v>
      </c>
      <c r="J41" s="10" t="s">
        <v>166</v>
      </c>
      <c r="L41" s="39">
        <v>91.95</v>
      </c>
      <c r="M41" s="12">
        <v>29441172</v>
      </c>
      <c r="N41" s="38"/>
      <c r="O41" s="12">
        <v>9662779</v>
      </c>
      <c r="P41" s="38">
        <v>61.55</v>
      </c>
      <c r="Q41" s="12">
        <v>4514100</v>
      </c>
      <c r="R41" s="12"/>
      <c r="S41" s="12"/>
      <c r="T41" s="12">
        <v>118969780</v>
      </c>
      <c r="U41" s="12">
        <v>3524528</v>
      </c>
      <c r="V41" s="12">
        <v>18707145</v>
      </c>
      <c r="W41" s="12">
        <v>111080251</v>
      </c>
      <c r="X41" s="13"/>
    </row>
    <row r="42" spans="1:24" ht="18" x14ac:dyDescent="0.55000000000000004">
      <c r="A42" s="10">
        <v>1401</v>
      </c>
      <c r="B42" s="10" t="s">
        <v>105</v>
      </c>
      <c r="C42" s="10">
        <v>3040200015</v>
      </c>
      <c r="D42" s="14" t="s">
        <v>122</v>
      </c>
      <c r="E42" s="11" t="s">
        <v>213</v>
      </c>
      <c r="F42" s="10" t="s">
        <v>3</v>
      </c>
      <c r="G42" s="10" t="s">
        <v>2</v>
      </c>
      <c r="H42" s="10" t="s">
        <v>8</v>
      </c>
      <c r="I42" s="10" t="s">
        <v>57</v>
      </c>
      <c r="J42" s="10" t="s">
        <v>173</v>
      </c>
      <c r="L42" s="39">
        <v>5.18</v>
      </c>
      <c r="M42" s="12">
        <v>2396036</v>
      </c>
      <c r="N42" s="38"/>
      <c r="O42" s="12">
        <v>0</v>
      </c>
      <c r="P42" s="38"/>
      <c r="Q42" s="12"/>
      <c r="R42" s="12"/>
      <c r="S42" s="12"/>
      <c r="T42" s="12">
        <v>100817386</v>
      </c>
      <c r="U42" s="12">
        <v>1738453</v>
      </c>
      <c r="V42" s="12">
        <v>17457225</v>
      </c>
      <c r="W42" s="12">
        <v>95005580</v>
      </c>
      <c r="X42" s="13"/>
    </row>
    <row r="43" spans="1:24" ht="18" x14ac:dyDescent="0.55000000000000004">
      <c r="A43" s="10">
        <v>1401</v>
      </c>
      <c r="B43" s="10" t="s">
        <v>105</v>
      </c>
      <c r="C43" s="10">
        <v>3040200017</v>
      </c>
      <c r="D43" s="14" t="s">
        <v>123</v>
      </c>
      <c r="E43" s="11" t="s">
        <v>213</v>
      </c>
      <c r="F43" s="10" t="s">
        <v>3</v>
      </c>
      <c r="G43" s="10" t="s">
        <v>2</v>
      </c>
      <c r="H43" s="10" t="s">
        <v>9</v>
      </c>
      <c r="I43" s="10" t="s">
        <v>60</v>
      </c>
      <c r="J43" s="10" t="s">
        <v>177</v>
      </c>
      <c r="L43" s="39">
        <v>61.31</v>
      </c>
      <c r="M43" s="12">
        <v>27633847</v>
      </c>
      <c r="N43" s="38">
        <v>10.46</v>
      </c>
      <c r="O43" s="12">
        <v>1347731</v>
      </c>
      <c r="P43" s="38"/>
      <c r="Q43" s="12"/>
      <c r="R43" s="12"/>
      <c r="S43" s="12"/>
      <c r="T43" s="12">
        <v>121342253</v>
      </c>
      <c r="U43" s="12">
        <v>4193725</v>
      </c>
      <c r="V43" s="12">
        <v>18108225</v>
      </c>
      <c r="W43" s="12">
        <v>112923275</v>
      </c>
      <c r="X43" s="13"/>
    </row>
    <row r="44" spans="1:24" ht="18" x14ac:dyDescent="0.55000000000000004">
      <c r="A44" s="10">
        <v>1401</v>
      </c>
      <c r="B44" s="10" t="s">
        <v>105</v>
      </c>
      <c r="C44" s="10">
        <v>3040200019</v>
      </c>
      <c r="D44" s="14" t="s">
        <v>124</v>
      </c>
      <c r="E44" s="11" t="s">
        <v>213</v>
      </c>
      <c r="F44" s="10" t="s">
        <v>3</v>
      </c>
      <c r="G44" s="10" t="s">
        <v>2</v>
      </c>
      <c r="H44" s="10" t="s">
        <v>9</v>
      </c>
      <c r="I44" s="10" t="s">
        <v>58</v>
      </c>
      <c r="J44" s="10" t="s">
        <v>178</v>
      </c>
      <c r="L44" s="39">
        <v>29.7</v>
      </c>
      <c r="M44" s="12">
        <v>9683351</v>
      </c>
      <c r="N44" s="38"/>
      <c r="O44" s="12">
        <v>0</v>
      </c>
      <c r="P44" s="38"/>
      <c r="Q44" s="12"/>
      <c r="R44" s="12"/>
      <c r="S44" s="12"/>
      <c r="T44" s="12">
        <v>85985332</v>
      </c>
      <c r="U44" s="12">
        <v>226084</v>
      </c>
      <c r="V44" s="12">
        <v>18707145</v>
      </c>
      <c r="W44" s="12">
        <v>81394247</v>
      </c>
      <c r="X44" s="13"/>
    </row>
    <row r="45" spans="1:24" ht="18" x14ac:dyDescent="0.55000000000000004">
      <c r="A45" s="10">
        <v>1401</v>
      </c>
      <c r="B45" s="10" t="s">
        <v>105</v>
      </c>
      <c r="C45" s="10">
        <v>3040200020</v>
      </c>
      <c r="D45" s="14" t="s">
        <v>125</v>
      </c>
      <c r="E45" s="11" t="s">
        <v>213</v>
      </c>
      <c r="F45" s="10" t="s">
        <v>3</v>
      </c>
      <c r="G45" s="10" t="s">
        <v>2</v>
      </c>
      <c r="H45" s="10" t="s">
        <v>9</v>
      </c>
      <c r="I45" s="10" t="s">
        <v>62</v>
      </c>
      <c r="J45" s="10" t="s">
        <v>176</v>
      </c>
      <c r="L45" s="39">
        <v>79.66</v>
      </c>
      <c r="M45" s="12">
        <v>35487879</v>
      </c>
      <c r="N45" s="38">
        <v>13.18</v>
      </c>
      <c r="O45" s="12">
        <v>2733182</v>
      </c>
      <c r="P45" s="38"/>
      <c r="Q45" s="12"/>
      <c r="R45" s="12"/>
      <c r="S45" s="12"/>
      <c r="T45" s="12">
        <v>135554394</v>
      </c>
      <c r="U45" s="12">
        <v>6018939</v>
      </c>
      <c r="V45" s="12">
        <v>18707145</v>
      </c>
      <c r="W45" s="12">
        <v>125170454</v>
      </c>
      <c r="X45" s="13"/>
    </row>
    <row r="46" spans="1:24" ht="18" x14ac:dyDescent="0.55000000000000004">
      <c r="A46" s="10">
        <v>1401</v>
      </c>
      <c r="B46" s="10" t="s">
        <v>105</v>
      </c>
      <c r="C46" s="10">
        <v>3040200024</v>
      </c>
      <c r="D46" s="14" t="s">
        <v>126</v>
      </c>
      <c r="E46" s="11" t="s">
        <v>213</v>
      </c>
      <c r="F46" s="10" t="s">
        <v>3</v>
      </c>
      <c r="G46" s="10" t="s">
        <v>1</v>
      </c>
      <c r="H46" s="10" t="s">
        <v>10</v>
      </c>
      <c r="I46" s="10" t="s">
        <v>64</v>
      </c>
      <c r="J46" s="10" t="s">
        <v>166</v>
      </c>
      <c r="L46" s="39">
        <v>163.72999999999999</v>
      </c>
      <c r="M46" s="12">
        <v>49134541</v>
      </c>
      <c r="N46" s="38">
        <v>74.11</v>
      </c>
      <c r="O46" s="12">
        <v>12274347</v>
      </c>
      <c r="P46" s="38">
        <v>145.68</v>
      </c>
      <c r="Q46" s="12">
        <v>10018466</v>
      </c>
      <c r="R46" s="12"/>
      <c r="S46" s="12"/>
      <c r="T46" s="12">
        <v>139335811</v>
      </c>
      <c r="U46" s="12">
        <v>6008271</v>
      </c>
      <c r="V46" s="12">
        <v>17457225</v>
      </c>
      <c r="W46" s="12">
        <v>129254187</v>
      </c>
      <c r="X46" s="13"/>
    </row>
    <row r="47" spans="1:24" ht="18" x14ac:dyDescent="0.55000000000000004">
      <c r="A47" s="10">
        <v>1401</v>
      </c>
      <c r="B47" s="10" t="s">
        <v>105</v>
      </c>
      <c r="C47" s="10">
        <v>3040200025</v>
      </c>
      <c r="D47" s="14" t="s">
        <v>127</v>
      </c>
      <c r="E47" s="11" t="s">
        <v>213</v>
      </c>
      <c r="F47" s="10" t="s">
        <v>3</v>
      </c>
      <c r="G47" s="10" t="s">
        <v>1</v>
      </c>
      <c r="H47" s="10" t="s">
        <v>12</v>
      </c>
      <c r="I47" s="10" t="s">
        <v>70</v>
      </c>
      <c r="J47" s="10" t="s">
        <v>167</v>
      </c>
      <c r="L47" s="39">
        <v>41.13</v>
      </c>
      <c r="M47" s="12">
        <v>13810766</v>
      </c>
      <c r="N47" s="38">
        <v>19</v>
      </c>
      <c r="O47" s="12">
        <v>1822676</v>
      </c>
      <c r="P47" s="38"/>
      <c r="Q47" s="12"/>
      <c r="R47" s="12"/>
      <c r="S47" s="12"/>
      <c r="T47" s="12">
        <v>85153833</v>
      </c>
      <c r="U47" s="12">
        <v>1008048</v>
      </c>
      <c r="V47" s="12">
        <v>17457225</v>
      </c>
      <c r="W47" s="12">
        <v>80072432</v>
      </c>
      <c r="X47" s="13"/>
    </row>
    <row r="48" spans="1:24" ht="18" x14ac:dyDescent="0.55000000000000004">
      <c r="A48" s="10">
        <v>1401</v>
      </c>
      <c r="B48" s="10" t="s">
        <v>105</v>
      </c>
      <c r="C48" s="10">
        <v>3040200060</v>
      </c>
      <c r="D48" s="14" t="s">
        <v>128</v>
      </c>
      <c r="E48" s="11" t="s">
        <v>213</v>
      </c>
      <c r="F48" s="10" t="s">
        <v>3</v>
      </c>
      <c r="G48" s="10" t="s">
        <v>1</v>
      </c>
      <c r="H48" s="10" t="s">
        <v>14</v>
      </c>
      <c r="I48" s="10" t="s">
        <v>73</v>
      </c>
      <c r="J48" s="10" t="s">
        <v>193</v>
      </c>
      <c r="L48" s="39">
        <v>83.3</v>
      </c>
      <c r="M48" s="12">
        <v>35694473</v>
      </c>
      <c r="N48" s="38">
        <v>22.68</v>
      </c>
      <c r="O48" s="12">
        <v>5674632</v>
      </c>
      <c r="P48" s="38"/>
      <c r="Q48" s="12"/>
      <c r="R48" s="12"/>
      <c r="S48" s="12"/>
      <c r="T48" s="12">
        <v>134309667</v>
      </c>
      <c r="U48" s="12">
        <v>5072492</v>
      </c>
      <c r="V48" s="12">
        <v>18108225</v>
      </c>
      <c r="W48" s="12">
        <v>125011922</v>
      </c>
      <c r="X48" s="13"/>
    </row>
    <row r="49" spans="1:24" ht="18" x14ac:dyDescent="0.55000000000000004">
      <c r="A49" s="10">
        <v>1401</v>
      </c>
      <c r="B49" s="10" t="s">
        <v>105</v>
      </c>
      <c r="C49" s="10">
        <v>3040200074</v>
      </c>
      <c r="D49" s="14" t="s">
        <v>129</v>
      </c>
      <c r="E49" s="11" t="s">
        <v>213</v>
      </c>
      <c r="F49" s="10" t="s">
        <v>3</v>
      </c>
      <c r="G49" s="10" t="s">
        <v>0</v>
      </c>
      <c r="H49" s="10" t="s">
        <v>11</v>
      </c>
      <c r="I49" s="10" t="s">
        <v>68</v>
      </c>
      <c r="J49" s="10" t="s">
        <v>169</v>
      </c>
      <c r="L49" s="39">
        <v>48.9</v>
      </c>
      <c r="M49" s="12">
        <v>20538000</v>
      </c>
      <c r="N49" s="38"/>
      <c r="O49" s="12">
        <v>0</v>
      </c>
      <c r="P49" s="38"/>
      <c r="Q49" s="12"/>
      <c r="R49" s="12"/>
      <c r="S49" s="12"/>
      <c r="T49" s="12">
        <v>103738000</v>
      </c>
      <c r="U49" s="12">
        <v>1852317</v>
      </c>
      <c r="V49" s="12">
        <v>17457225</v>
      </c>
      <c r="W49" s="12">
        <v>97812330</v>
      </c>
      <c r="X49" s="13"/>
    </row>
    <row r="50" spans="1:24" ht="18" x14ac:dyDescent="0.55000000000000004">
      <c r="A50" s="10">
        <v>1401</v>
      </c>
      <c r="B50" s="10" t="s">
        <v>105</v>
      </c>
      <c r="C50" s="10">
        <v>3040200075</v>
      </c>
      <c r="D50" s="14" t="s">
        <v>130</v>
      </c>
      <c r="E50" s="11" t="s">
        <v>213</v>
      </c>
      <c r="F50" s="10" t="s">
        <v>3</v>
      </c>
      <c r="G50" s="10" t="s">
        <v>1</v>
      </c>
      <c r="H50" s="10" t="s">
        <v>10</v>
      </c>
      <c r="I50" s="10" t="s">
        <v>64</v>
      </c>
      <c r="J50" s="10" t="s">
        <v>166</v>
      </c>
      <c r="L50" s="39">
        <v>136.53</v>
      </c>
      <c r="M50" s="12">
        <v>36315695</v>
      </c>
      <c r="N50" s="38">
        <v>40.21</v>
      </c>
      <c r="O50" s="12">
        <v>3056284</v>
      </c>
      <c r="P50" s="38">
        <v>150.08000000000001</v>
      </c>
      <c r="Q50" s="12">
        <v>9148080</v>
      </c>
      <c r="R50" s="12"/>
      <c r="S50" s="12"/>
      <c r="T50" s="12">
        <v>110890559</v>
      </c>
      <c r="U50" s="12">
        <v>3163746</v>
      </c>
      <c r="V50" s="12">
        <v>17457225</v>
      </c>
      <c r="W50" s="12">
        <v>103653460</v>
      </c>
      <c r="X50" s="13"/>
    </row>
    <row r="51" spans="1:24" ht="18" x14ac:dyDescent="0.55000000000000004">
      <c r="A51" s="10">
        <v>1401</v>
      </c>
      <c r="B51" s="10" t="s">
        <v>105</v>
      </c>
      <c r="C51" s="10">
        <v>3040200076</v>
      </c>
      <c r="D51" s="14" t="s">
        <v>131</v>
      </c>
      <c r="E51" s="11" t="s">
        <v>213</v>
      </c>
      <c r="F51" s="10" t="s">
        <v>3</v>
      </c>
      <c r="G51" s="10" t="s">
        <v>2</v>
      </c>
      <c r="H51" s="10" t="s">
        <v>9</v>
      </c>
      <c r="I51" s="10" t="s">
        <v>60</v>
      </c>
      <c r="J51" s="10" t="s">
        <v>177</v>
      </c>
      <c r="L51" s="39">
        <v>70.53</v>
      </c>
      <c r="M51" s="12">
        <v>33663636</v>
      </c>
      <c r="N51" s="38">
        <v>38.28</v>
      </c>
      <c r="O51" s="12">
        <v>12175000</v>
      </c>
      <c r="P51" s="38"/>
      <c r="Q51" s="12"/>
      <c r="R51" s="12"/>
      <c r="S51" s="12"/>
      <c r="T51" s="12">
        <v>138338636</v>
      </c>
      <c r="U51" s="12">
        <v>6326529</v>
      </c>
      <c r="V51" s="12">
        <v>17457225</v>
      </c>
      <c r="W51" s="12">
        <v>127938754</v>
      </c>
      <c r="X51" s="13"/>
    </row>
    <row r="52" spans="1:24" ht="18" x14ac:dyDescent="0.55000000000000004">
      <c r="A52" s="10">
        <v>1401</v>
      </c>
      <c r="B52" s="10" t="s">
        <v>105</v>
      </c>
      <c r="C52" s="10">
        <v>3040210003</v>
      </c>
      <c r="D52" s="14" t="s">
        <v>208</v>
      </c>
      <c r="E52" s="11" t="s">
        <v>213</v>
      </c>
      <c r="F52" s="10" t="s">
        <v>4</v>
      </c>
      <c r="G52" s="10" t="s">
        <v>0</v>
      </c>
      <c r="H52" s="10" t="s">
        <v>16</v>
      </c>
      <c r="I52" s="10" t="s">
        <v>75</v>
      </c>
      <c r="J52" s="10" t="s">
        <v>186</v>
      </c>
      <c r="L52" s="39">
        <v>32.86</v>
      </c>
      <c r="M52" s="12">
        <v>14004276</v>
      </c>
      <c r="N52" s="38"/>
      <c r="O52" s="12">
        <v>0</v>
      </c>
      <c r="P52" s="38"/>
      <c r="Q52" s="12"/>
      <c r="R52" s="12"/>
      <c r="S52" s="12"/>
      <c r="T52" s="12">
        <v>110733010</v>
      </c>
      <c r="U52" s="12">
        <v>2155585</v>
      </c>
      <c r="V52" s="12">
        <v>24162488</v>
      </c>
      <c r="W52" s="12">
        <v>102939511</v>
      </c>
      <c r="X52" s="13"/>
    </row>
    <row r="53" spans="1:24" ht="18" x14ac:dyDescent="0.55000000000000004">
      <c r="A53" s="10">
        <v>1401</v>
      </c>
      <c r="B53" s="10" t="s">
        <v>105</v>
      </c>
      <c r="C53" s="10">
        <v>3040210004</v>
      </c>
      <c r="D53" s="14" t="s">
        <v>132</v>
      </c>
      <c r="E53" s="11" t="s">
        <v>213</v>
      </c>
      <c r="F53" s="10" t="s">
        <v>4</v>
      </c>
      <c r="G53" s="10" t="s">
        <v>0</v>
      </c>
      <c r="H53" s="10" t="s">
        <v>6</v>
      </c>
      <c r="I53" s="10" t="s">
        <v>39</v>
      </c>
      <c r="J53" s="10" t="s">
        <v>190</v>
      </c>
      <c r="L53" s="39">
        <v>29.33</v>
      </c>
      <c r="M53" s="12">
        <v>17954025</v>
      </c>
      <c r="N53" s="38"/>
      <c r="O53" s="12">
        <v>0</v>
      </c>
      <c r="P53" s="38"/>
      <c r="Q53" s="12"/>
      <c r="R53" s="12"/>
      <c r="S53" s="12"/>
      <c r="T53" s="12">
        <v>132342379</v>
      </c>
      <c r="U53" s="12">
        <v>5711713</v>
      </c>
      <c r="V53" s="12">
        <v>18108225</v>
      </c>
      <c r="W53" s="12">
        <v>122405413</v>
      </c>
      <c r="X53" s="13"/>
    </row>
    <row r="54" spans="1:24" ht="18" x14ac:dyDescent="0.55000000000000004">
      <c r="A54" s="10">
        <v>1401</v>
      </c>
      <c r="B54" s="10" t="s">
        <v>105</v>
      </c>
      <c r="C54" s="10">
        <v>3040210005</v>
      </c>
      <c r="D54" s="14" t="s">
        <v>133</v>
      </c>
      <c r="E54" s="11" t="s">
        <v>213</v>
      </c>
      <c r="F54" s="10" t="s">
        <v>4</v>
      </c>
      <c r="G54" s="10" t="s">
        <v>0</v>
      </c>
      <c r="H54" s="10" t="s">
        <v>7</v>
      </c>
      <c r="I54" s="10" t="s">
        <v>46</v>
      </c>
      <c r="J54" s="10" t="s">
        <v>191</v>
      </c>
      <c r="L54" s="39">
        <v>16.579999999999998</v>
      </c>
      <c r="M54" s="12">
        <v>7492652</v>
      </c>
      <c r="N54" s="38"/>
      <c r="O54" s="12">
        <v>0</v>
      </c>
      <c r="P54" s="38"/>
      <c r="Q54" s="12"/>
      <c r="R54" s="12"/>
      <c r="S54" s="12"/>
      <c r="T54" s="12">
        <v>95859319</v>
      </c>
      <c r="U54" s="12">
        <v>2063407</v>
      </c>
      <c r="V54" s="12">
        <v>18108225</v>
      </c>
      <c r="W54" s="12">
        <v>89570659</v>
      </c>
      <c r="X54" s="13"/>
    </row>
    <row r="55" spans="1:24" ht="18" x14ac:dyDescent="0.55000000000000004">
      <c r="A55" s="10">
        <v>1401</v>
      </c>
      <c r="B55" s="10" t="s">
        <v>105</v>
      </c>
      <c r="C55" s="10">
        <v>5010100004</v>
      </c>
      <c r="D55" s="14" t="s">
        <v>134</v>
      </c>
      <c r="E55" s="11" t="s">
        <v>213</v>
      </c>
      <c r="F55" s="10" t="s">
        <v>4</v>
      </c>
      <c r="G55" s="10" t="s">
        <v>0</v>
      </c>
      <c r="H55" s="10" t="s">
        <v>5</v>
      </c>
      <c r="I55" s="10" t="s">
        <v>20</v>
      </c>
      <c r="J55" s="10" t="s">
        <v>189</v>
      </c>
      <c r="L55" s="39">
        <v>0</v>
      </c>
      <c r="M55" s="12">
        <v>0</v>
      </c>
      <c r="N55" s="38"/>
      <c r="O55" s="12">
        <v>0</v>
      </c>
      <c r="P55" s="38"/>
      <c r="Q55" s="12"/>
      <c r="R55" s="12">
        <v>2</v>
      </c>
      <c r="S55" s="12">
        <v>12488610</v>
      </c>
      <c r="T55" s="12">
        <v>186527124</v>
      </c>
      <c r="U55" s="12">
        <v>8696865</v>
      </c>
      <c r="V55" s="12">
        <v>50957629</v>
      </c>
      <c r="W55" s="12">
        <v>165940146</v>
      </c>
      <c r="X55" s="13"/>
    </row>
    <row r="56" spans="1:24" ht="18" x14ac:dyDescent="0.55000000000000004">
      <c r="A56" s="10">
        <v>1401</v>
      </c>
      <c r="B56" s="10" t="s">
        <v>106</v>
      </c>
      <c r="C56" s="10">
        <v>3040200007</v>
      </c>
      <c r="D56" s="14" t="s">
        <v>118</v>
      </c>
      <c r="E56" s="11" t="s">
        <v>213</v>
      </c>
      <c r="F56" s="10" t="s">
        <v>3</v>
      </c>
      <c r="G56" s="10" t="s">
        <v>0</v>
      </c>
      <c r="H56" s="10" t="s">
        <v>7</v>
      </c>
      <c r="I56" s="10" t="s">
        <v>75</v>
      </c>
      <c r="J56" s="10" t="s">
        <v>181</v>
      </c>
      <c r="L56" s="39">
        <v>30.06</v>
      </c>
      <c r="M56" s="12">
        <v>15498000</v>
      </c>
      <c r="N56" s="38"/>
      <c r="O56" s="12">
        <v>0</v>
      </c>
      <c r="P56" s="38"/>
      <c r="Q56" s="12"/>
      <c r="R56" s="12"/>
      <c r="S56" s="12"/>
      <c r="T56" s="12">
        <v>114198000</v>
      </c>
      <c r="U56" s="12">
        <v>3883300</v>
      </c>
      <c r="V56" s="12">
        <v>18707145</v>
      </c>
      <c r="W56" s="12">
        <v>105349699</v>
      </c>
      <c r="X56" s="13"/>
    </row>
    <row r="57" spans="1:24" ht="18" x14ac:dyDescent="0.55000000000000004">
      <c r="A57" s="10">
        <v>1401</v>
      </c>
      <c r="B57" s="10" t="s">
        <v>106</v>
      </c>
      <c r="C57" s="10">
        <v>3040200009</v>
      </c>
      <c r="D57" s="14" t="s">
        <v>119</v>
      </c>
      <c r="E57" s="11" t="s">
        <v>213</v>
      </c>
      <c r="F57" s="10" t="s">
        <v>3</v>
      </c>
      <c r="G57" s="10" t="s">
        <v>2</v>
      </c>
      <c r="H57" s="10" t="s">
        <v>9</v>
      </c>
      <c r="I57" s="10" t="s">
        <v>135</v>
      </c>
      <c r="J57" s="10" t="s">
        <v>176</v>
      </c>
      <c r="L57" s="39">
        <v>99.7</v>
      </c>
      <c r="M57" s="12">
        <v>35736614</v>
      </c>
      <c r="N57" s="38">
        <v>26.53</v>
      </c>
      <c r="O57" s="12">
        <v>4138292</v>
      </c>
      <c r="P57" s="38">
        <v>3.15</v>
      </c>
      <c r="Q57" s="12">
        <v>256286</v>
      </c>
      <c r="R57" s="12"/>
      <c r="S57" s="12"/>
      <c r="T57" s="12">
        <v>121694759</v>
      </c>
      <c r="U57" s="12">
        <v>3761271</v>
      </c>
      <c r="V57" s="12">
        <v>20239497</v>
      </c>
      <c r="W57" s="12">
        <v>110810939</v>
      </c>
      <c r="X57" s="13"/>
    </row>
    <row r="58" spans="1:24" ht="18" x14ac:dyDescent="0.55000000000000004">
      <c r="A58" s="10">
        <v>1401</v>
      </c>
      <c r="B58" s="10" t="s">
        <v>106</v>
      </c>
      <c r="C58" s="10">
        <v>3040200012</v>
      </c>
      <c r="D58" s="14" t="s">
        <v>120</v>
      </c>
      <c r="E58" s="11" t="s">
        <v>213</v>
      </c>
      <c r="F58" s="10" t="s">
        <v>3</v>
      </c>
      <c r="G58" s="10" t="s">
        <v>1</v>
      </c>
      <c r="H58" s="10" t="s">
        <v>17</v>
      </c>
      <c r="I58" s="10" t="s">
        <v>78</v>
      </c>
      <c r="J58" s="10" t="s">
        <v>171</v>
      </c>
      <c r="L58" s="39">
        <v>47.78</v>
      </c>
      <c r="M58" s="12">
        <v>32521563</v>
      </c>
      <c r="N58" s="38"/>
      <c r="O58" s="12">
        <v>0</v>
      </c>
      <c r="P58" s="38"/>
      <c r="Q58" s="12"/>
      <c r="R58" s="12"/>
      <c r="S58" s="12"/>
      <c r="T58" s="12">
        <v>166398308</v>
      </c>
      <c r="U58" s="12">
        <v>8132103</v>
      </c>
      <c r="V58" s="12">
        <v>24504771</v>
      </c>
      <c r="W58" s="12">
        <v>152548425</v>
      </c>
      <c r="X58" s="13"/>
    </row>
    <row r="59" spans="1:24" ht="18" x14ac:dyDescent="0.55000000000000004">
      <c r="A59" s="10">
        <v>1401</v>
      </c>
      <c r="B59" s="10" t="s">
        <v>106</v>
      </c>
      <c r="C59" s="10">
        <v>3040200014</v>
      </c>
      <c r="D59" s="14" t="s">
        <v>121</v>
      </c>
      <c r="E59" s="11" t="s">
        <v>213</v>
      </c>
      <c r="F59" s="10" t="s">
        <v>3</v>
      </c>
      <c r="G59" s="10" t="s">
        <v>1</v>
      </c>
      <c r="H59" s="10" t="s">
        <v>10</v>
      </c>
      <c r="I59" s="10" t="s">
        <v>65</v>
      </c>
      <c r="J59" s="10" t="s">
        <v>166</v>
      </c>
      <c r="L59" s="39">
        <v>123.6</v>
      </c>
      <c r="M59" s="12">
        <v>39575082</v>
      </c>
      <c r="N59" s="38">
        <v>76.3</v>
      </c>
      <c r="O59" s="12">
        <v>19272955</v>
      </c>
      <c r="P59" s="38">
        <v>48.25</v>
      </c>
      <c r="Q59" s="12">
        <v>3539665</v>
      </c>
      <c r="R59" s="12"/>
      <c r="S59" s="12"/>
      <c r="T59" s="12">
        <v>137739431</v>
      </c>
      <c r="U59" s="12">
        <v>5401493</v>
      </c>
      <c r="V59" s="12">
        <v>18707145</v>
      </c>
      <c r="W59" s="12">
        <v>125572937</v>
      </c>
      <c r="X59" s="13"/>
    </row>
    <row r="60" spans="1:24" ht="18" x14ac:dyDescent="0.55000000000000004">
      <c r="A60" s="10">
        <v>1401</v>
      </c>
      <c r="B60" s="10" t="s">
        <v>106</v>
      </c>
      <c r="C60" s="10">
        <v>3040200015</v>
      </c>
      <c r="D60" s="14" t="s">
        <v>122</v>
      </c>
      <c r="E60" s="11" t="s">
        <v>213</v>
      </c>
      <c r="F60" s="10" t="s">
        <v>3</v>
      </c>
      <c r="G60" s="10" t="s">
        <v>2</v>
      </c>
      <c r="H60" s="10" t="s">
        <v>8</v>
      </c>
      <c r="I60" s="10" t="s">
        <v>57</v>
      </c>
      <c r="J60" s="10" t="s">
        <v>173</v>
      </c>
      <c r="L60" s="39">
        <v>5.18</v>
      </c>
      <c r="M60" s="12">
        <v>2396036</v>
      </c>
      <c r="N60" s="38"/>
      <c r="O60" s="12">
        <v>0</v>
      </c>
      <c r="P60" s="38"/>
      <c r="Q60" s="12"/>
      <c r="R60" s="12"/>
      <c r="S60" s="12"/>
      <c r="T60" s="12">
        <v>100817386</v>
      </c>
      <c r="U60" s="12">
        <v>1738453</v>
      </c>
      <c r="V60" s="12">
        <v>17457225</v>
      </c>
      <c r="W60" s="12">
        <v>95005580</v>
      </c>
      <c r="X60" s="13"/>
    </row>
    <row r="61" spans="1:24" ht="18" x14ac:dyDescent="0.55000000000000004">
      <c r="A61" s="10">
        <v>1401</v>
      </c>
      <c r="B61" s="10" t="s">
        <v>106</v>
      </c>
      <c r="C61" s="10">
        <v>3040200017</v>
      </c>
      <c r="D61" s="14" t="s">
        <v>123</v>
      </c>
      <c r="E61" s="11" t="s">
        <v>213</v>
      </c>
      <c r="F61" s="10" t="s">
        <v>3</v>
      </c>
      <c r="G61" s="10" t="s">
        <v>2</v>
      </c>
      <c r="H61" s="10" t="s">
        <v>9</v>
      </c>
      <c r="I61" s="10" t="s">
        <v>60</v>
      </c>
      <c r="J61" s="10" t="s">
        <v>177</v>
      </c>
      <c r="L61" s="39">
        <v>80.16</v>
      </c>
      <c r="M61" s="12">
        <v>36129058</v>
      </c>
      <c r="N61" s="38">
        <v>32.729999999999997</v>
      </c>
      <c r="O61" s="12">
        <v>8732352</v>
      </c>
      <c r="P61" s="38"/>
      <c r="Q61" s="12"/>
      <c r="R61" s="12"/>
      <c r="S61" s="12"/>
      <c r="T61" s="12">
        <v>137222085</v>
      </c>
      <c r="U61" s="12">
        <v>5781708</v>
      </c>
      <c r="V61" s="12">
        <v>18108225</v>
      </c>
      <c r="W61" s="12">
        <v>126615124</v>
      </c>
      <c r="X61" s="13"/>
    </row>
    <row r="62" spans="1:24" ht="18" x14ac:dyDescent="0.55000000000000004">
      <c r="A62" s="10">
        <v>1401</v>
      </c>
      <c r="B62" s="10" t="s">
        <v>106</v>
      </c>
      <c r="C62" s="10">
        <v>3040200019</v>
      </c>
      <c r="D62" s="14" t="s">
        <v>124</v>
      </c>
      <c r="E62" s="11" t="s">
        <v>213</v>
      </c>
      <c r="F62" s="10" t="s">
        <v>3</v>
      </c>
      <c r="G62" s="10" t="s">
        <v>2</v>
      </c>
      <c r="H62" s="10" t="s">
        <v>9</v>
      </c>
      <c r="I62" s="10" t="s">
        <v>58</v>
      </c>
      <c r="J62" s="10" t="s">
        <v>178</v>
      </c>
      <c r="L62" s="39">
        <v>38.11</v>
      </c>
      <c r="M62" s="12">
        <v>12427510</v>
      </c>
      <c r="N62" s="38">
        <v>5.03</v>
      </c>
      <c r="O62" s="12">
        <v>468875</v>
      </c>
      <c r="P62" s="38"/>
      <c r="Q62" s="12"/>
      <c r="R62" s="12"/>
      <c r="S62" s="12"/>
      <c r="T62" s="12">
        <v>89198366</v>
      </c>
      <c r="U62" s="12">
        <v>547386</v>
      </c>
      <c r="V62" s="12">
        <v>18707145</v>
      </c>
      <c r="W62" s="12">
        <v>81885979</v>
      </c>
      <c r="X62" s="13"/>
    </row>
    <row r="63" spans="1:24" ht="18" x14ac:dyDescent="0.55000000000000004">
      <c r="A63" s="10">
        <v>1401</v>
      </c>
      <c r="B63" s="10" t="s">
        <v>106</v>
      </c>
      <c r="C63" s="10">
        <v>3040200020</v>
      </c>
      <c r="D63" s="14" t="s">
        <v>125</v>
      </c>
      <c r="E63" s="11" t="s">
        <v>213</v>
      </c>
      <c r="F63" s="10" t="s">
        <v>3</v>
      </c>
      <c r="G63" s="10" t="s">
        <v>2</v>
      </c>
      <c r="H63" s="10" t="s">
        <v>9</v>
      </c>
      <c r="I63" s="10" t="s">
        <v>62</v>
      </c>
      <c r="J63" s="10" t="s">
        <v>176</v>
      </c>
      <c r="L63" s="39">
        <v>107.45</v>
      </c>
      <c r="M63" s="12">
        <v>47864090</v>
      </c>
      <c r="N63" s="38">
        <v>29.78</v>
      </c>
      <c r="O63" s="12">
        <v>5556515</v>
      </c>
      <c r="P63" s="38">
        <v>3.15</v>
      </c>
      <c r="Q63" s="12">
        <v>318500</v>
      </c>
      <c r="R63" s="12"/>
      <c r="S63" s="12"/>
      <c r="T63" s="12">
        <v>151072438</v>
      </c>
      <c r="U63" s="12">
        <v>7570744</v>
      </c>
      <c r="V63" s="12">
        <v>18707145</v>
      </c>
      <c r="W63" s="12">
        <v>138536693</v>
      </c>
      <c r="X63" s="13"/>
    </row>
    <row r="64" spans="1:24" ht="18" x14ac:dyDescent="0.55000000000000004">
      <c r="A64" s="10">
        <v>1401</v>
      </c>
      <c r="B64" s="10" t="s">
        <v>106</v>
      </c>
      <c r="C64" s="10">
        <v>3040200024</v>
      </c>
      <c r="D64" s="14" t="s">
        <v>126</v>
      </c>
      <c r="E64" s="11" t="s">
        <v>213</v>
      </c>
      <c r="F64" s="10" t="s">
        <v>3</v>
      </c>
      <c r="G64" s="10" t="s">
        <v>1</v>
      </c>
      <c r="H64" s="10" t="s">
        <v>10</v>
      </c>
      <c r="I64" s="10" t="s">
        <v>64</v>
      </c>
      <c r="J64" s="10" t="s">
        <v>166</v>
      </c>
      <c r="L64" s="39">
        <v>68.75</v>
      </c>
      <c r="M64" s="12">
        <v>45413440</v>
      </c>
      <c r="N64" s="38">
        <v>151.33000000000001</v>
      </c>
      <c r="O64" s="12">
        <v>10542406</v>
      </c>
      <c r="P64" s="38">
        <v>149.41</v>
      </c>
      <c r="Q64" s="12">
        <v>10277043</v>
      </c>
      <c r="R64" s="12"/>
      <c r="S64" s="12"/>
      <c r="T64" s="12">
        <v>134141346</v>
      </c>
      <c r="U64" s="12">
        <v>5488824</v>
      </c>
      <c r="V64" s="12">
        <v>17457225</v>
      </c>
      <c r="W64" s="12">
        <v>122779169</v>
      </c>
      <c r="X64" s="13"/>
    </row>
    <row r="65" spans="1:24" ht="18" x14ac:dyDescent="0.55000000000000004">
      <c r="A65" s="10">
        <v>1401</v>
      </c>
      <c r="B65" s="10" t="s">
        <v>106</v>
      </c>
      <c r="C65" s="10">
        <v>3040200025</v>
      </c>
      <c r="D65" s="14" t="s">
        <v>127</v>
      </c>
      <c r="E65" s="11" t="s">
        <v>213</v>
      </c>
      <c r="F65" s="10" t="s">
        <v>3</v>
      </c>
      <c r="G65" s="10" t="s">
        <v>1</v>
      </c>
      <c r="H65" s="10" t="s">
        <v>12</v>
      </c>
      <c r="I65" s="10" t="s">
        <v>70</v>
      </c>
      <c r="J65" s="10" t="s">
        <v>167</v>
      </c>
      <c r="L65" s="39">
        <v>29.26</v>
      </c>
      <c r="M65" s="12">
        <v>9826461</v>
      </c>
      <c r="N65" s="38"/>
      <c r="O65" s="12">
        <v>0</v>
      </c>
      <c r="P65" s="38"/>
      <c r="Q65" s="12"/>
      <c r="R65" s="12"/>
      <c r="S65" s="12"/>
      <c r="T65" s="12">
        <v>79346852</v>
      </c>
      <c r="U65" s="12">
        <v>427350</v>
      </c>
      <c r="V65" s="12">
        <v>17457225</v>
      </c>
      <c r="W65" s="12">
        <v>74246149</v>
      </c>
      <c r="X65" s="13"/>
    </row>
    <row r="66" spans="1:24" ht="18" x14ac:dyDescent="0.55000000000000004">
      <c r="A66" s="10">
        <v>1401</v>
      </c>
      <c r="B66" s="10" t="s">
        <v>106</v>
      </c>
      <c r="C66" s="10">
        <v>3040200060</v>
      </c>
      <c r="D66" s="14" t="s">
        <v>128</v>
      </c>
      <c r="E66" s="11" t="s">
        <v>213</v>
      </c>
      <c r="F66" s="10" t="s">
        <v>3</v>
      </c>
      <c r="G66" s="10" t="s">
        <v>1</v>
      </c>
      <c r="H66" s="10" t="s">
        <v>14</v>
      </c>
      <c r="I66" s="10" t="s">
        <v>73</v>
      </c>
      <c r="J66" s="10" t="s">
        <v>193</v>
      </c>
      <c r="L66" s="39">
        <v>73.66</v>
      </c>
      <c r="M66" s="12">
        <v>31566541</v>
      </c>
      <c r="N66" s="38">
        <v>9.73</v>
      </c>
      <c r="O66" s="12">
        <v>1992549</v>
      </c>
      <c r="P66" s="38"/>
      <c r="Q66" s="12"/>
      <c r="R66" s="12"/>
      <c r="S66" s="12"/>
      <c r="T66" s="12">
        <v>126499652</v>
      </c>
      <c r="U66" s="12">
        <v>4291490</v>
      </c>
      <c r="V66" s="12">
        <v>18108225</v>
      </c>
      <c r="W66" s="12">
        <v>115582909</v>
      </c>
      <c r="X66" s="13"/>
    </row>
    <row r="67" spans="1:24" ht="18" x14ac:dyDescent="0.55000000000000004">
      <c r="A67" s="10">
        <v>1401</v>
      </c>
      <c r="B67" s="10" t="s">
        <v>106</v>
      </c>
      <c r="C67" s="10">
        <v>3040200074</v>
      </c>
      <c r="D67" s="14" t="s">
        <v>129</v>
      </c>
      <c r="E67" s="11" t="s">
        <v>213</v>
      </c>
      <c r="F67" s="10" t="s">
        <v>3</v>
      </c>
      <c r="G67" s="10" t="s">
        <v>0</v>
      </c>
      <c r="H67" s="10" t="s">
        <v>11</v>
      </c>
      <c r="I67" s="10" t="s">
        <v>68</v>
      </c>
      <c r="J67" s="10" t="s">
        <v>169</v>
      </c>
      <c r="L67" s="39">
        <v>56.73</v>
      </c>
      <c r="M67" s="12">
        <v>23828000</v>
      </c>
      <c r="N67" s="38">
        <v>6.08</v>
      </c>
      <c r="O67" s="12">
        <v>2555000</v>
      </c>
      <c r="P67" s="38"/>
      <c r="Q67" s="12"/>
      <c r="R67" s="12"/>
      <c r="S67" s="12"/>
      <c r="T67" s="12">
        <v>109583000</v>
      </c>
      <c r="U67" s="12">
        <v>3450965</v>
      </c>
      <c r="V67" s="12">
        <v>17457225</v>
      </c>
      <c r="W67" s="12">
        <v>101458682</v>
      </c>
      <c r="X67" s="13"/>
    </row>
    <row r="68" spans="1:24" ht="18" x14ac:dyDescent="0.55000000000000004">
      <c r="A68" s="10">
        <v>1401</v>
      </c>
      <c r="B68" s="10" t="s">
        <v>106</v>
      </c>
      <c r="C68" s="10">
        <v>3040200075</v>
      </c>
      <c r="D68" s="14" t="s">
        <v>130</v>
      </c>
      <c r="E68" s="11" t="s">
        <v>213</v>
      </c>
      <c r="F68" s="10" t="s">
        <v>3</v>
      </c>
      <c r="G68" s="10" t="s">
        <v>1</v>
      </c>
      <c r="H68" s="10" t="s">
        <v>10</v>
      </c>
      <c r="I68" s="10" t="s">
        <v>64</v>
      </c>
      <c r="J68" s="10" t="s">
        <v>166</v>
      </c>
      <c r="L68" s="39">
        <v>145.30000000000001</v>
      </c>
      <c r="M68" s="12">
        <v>38647488</v>
      </c>
      <c r="N68" s="38">
        <v>80.180000000000007</v>
      </c>
      <c r="O68" s="12">
        <v>9747684</v>
      </c>
      <c r="P68" s="38">
        <v>175.15</v>
      </c>
      <c r="Q68" s="12">
        <v>10674385</v>
      </c>
      <c r="R68" s="12"/>
      <c r="S68" s="12"/>
      <c r="T68" s="12">
        <v>121440057</v>
      </c>
      <c r="U68" s="12">
        <v>4218696</v>
      </c>
      <c r="V68" s="12">
        <v>17457225</v>
      </c>
      <c r="W68" s="12">
        <v>111348008</v>
      </c>
      <c r="X68" s="13"/>
    </row>
    <row r="69" spans="1:24" ht="18" x14ac:dyDescent="0.55000000000000004">
      <c r="A69" s="10">
        <v>1401</v>
      </c>
      <c r="B69" s="10" t="s">
        <v>106</v>
      </c>
      <c r="C69" s="10">
        <v>3040200076</v>
      </c>
      <c r="D69" s="14" t="s">
        <v>131</v>
      </c>
      <c r="E69" s="11" t="s">
        <v>213</v>
      </c>
      <c r="F69" s="10" t="s">
        <v>3</v>
      </c>
      <c r="G69" s="10" t="s">
        <v>2</v>
      </c>
      <c r="H69" s="10" t="s">
        <v>9</v>
      </c>
      <c r="I69" s="10" t="s">
        <v>60</v>
      </c>
      <c r="J69" s="10" t="s">
        <v>177</v>
      </c>
      <c r="L69" s="39">
        <v>81.13</v>
      </c>
      <c r="M69" s="12">
        <v>38722727</v>
      </c>
      <c r="N69" s="38">
        <v>19.05</v>
      </c>
      <c r="O69" s="12">
        <v>2597727</v>
      </c>
      <c r="P69" s="38"/>
      <c r="Q69" s="12"/>
      <c r="R69" s="12"/>
      <c r="S69" s="12"/>
      <c r="T69" s="12">
        <v>133820454</v>
      </c>
      <c r="U69" s="12">
        <v>5874710</v>
      </c>
      <c r="V69" s="12">
        <v>17457225</v>
      </c>
      <c r="W69" s="12">
        <v>122672391</v>
      </c>
      <c r="X69" s="13"/>
    </row>
    <row r="70" spans="1:24" ht="18" x14ac:dyDescent="0.55000000000000004">
      <c r="A70" s="10">
        <v>1401</v>
      </c>
      <c r="B70" s="10" t="s">
        <v>106</v>
      </c>
      <c r="C70" s="10">
        <v>3040210004</v>
      </c>
      <c r="D70" s="14" t="s">
        <v>132</v>
      </c>
      <c r="E70" s="11" t="s">
        <v>213</v>
      </c>
      <c r="F70" s="10" t="s">
        <v>4</v>
      </c>
      <c r="G70" s="10" t="s">
        <v>0</v>
      </c>
      <c r="H70" s="10" t="s">
        <v>6</v>
      </c>
      <c r="I70" s="10" t="s">
        <v>39</v>
      </c>
      <c r="J70" s="10" t="s">
        <v>190</v>
      </c>
      <c r="L70" s="39">
        <v>103.95</v>
      </c>
      <c r="M70" s="12">
        <v>63624576</v>
      </c>
      <c r="N70" s="38"/>
      <c r="O70" s="12">
        <v>9382144</v>
      </c>
      <c r="P70" s="38"/>
      <c r="Q70" s="12"/>
      <c r="R70" s="12"/>
      <c r="S70" s="12"/>
      <c r="T70" s="12">
        <v>187395074</v>
      </c>
      <c r="U70" s="12">
        <v>11216982</v>
      </c>
      <c r="V70" s="12">
        <v>18108225</v>
      </c>
      <c r="W70" s="12">
        <v>171352839</v>
      </c>
      <c r="X70" s="13"/>
    </row>
    <row r="71" spans="1:24" ht="18" x14ac:dyDescent="0.55000000000000004">
      <c r="A71" s="10">
        <v>1401</v>
      </c>
      <c r="B71" s="10" t="s">
        <v>106</v>
      </c>
      <c r="C71" s="10">
        <v>3040210005</v>
      </c>
      <c r="D71" s="14" t="s">
        <v>133</v>
      </c>
      <c r="E71" s="11" t="s">
        <v>213</v>
      </c>
      <c r="F71" s="10" t="s">
        <v>4</v>
      </c>
      <c r="G71" s="10" t="s">
        <v>0</v>
      </c>
      <c r="H71" s="10" t="s">
        <v>7</v>
      </c>
      <c r="I71" s="10" t="s">
        <v>46</v>
      </c>
      <c r="J71" s="10" t="s">
        <v>191</v>
      </c>
      <c r="L71" s="39">
        <v>11.58</v>
      </c>
      <c r="M71" s="12">
        <v>5233561</v>
      </c>
      <c r="N71" s="38"/>
      <c r="O71" s="12">
        <v>0</v>
      </c>
      <c r="P71" s="38"/>
      <c r="Q71" s="12"/>
      <c r="R71" s="12"/>
      <c r="S71" s="12"/>
      <c r="T71" s="12">
        <v>93600228</v>
      </c>
      <c r="U71" s="12">
        <v>1837497</v>
      </c>
      <c r="V71" s="12">
        <v>18108225</v>
      </c>
      <c r="W71" s="12">
        <v>86937478</v>
      </c>
      <c r="X71" s="13"/>
    </row>
    <row r="72" spans="1:24" ht="18" x14ac:dyDescent="0.55000000000000004">
      <c r="A72" s="10">
        <v>1401</v>
      </c>
      <c r="B72" s="10" t="s">
        <v>106</v>
      </c>
      <c r="C72" s="10">
        <v>5010100004</v>
      </c>
      <c r="D72" s="14" t="s">
        <v>134</v>
      </c>
      <c r="E72" s="11" t="s">
        <v>213</v>
      </c>
      <c r="F72" s="10" t="s">
        <v>4</v>
      </c>
      <c r="G72" s="10" t="s">
        <v>0</v>
      </c>
      <c r="H72" s="10" t="s">
        <v>5</v>
      </c>
      <c r="I72" s="10" t="s">
        <v>20</v>
      </c>
      <c r="J72" s="10" t="s">
        <v>189</v>
      </c>
      <c r="L72" s="39"/>
      <c r="M72" s="12">
        <v>0</v>
      </c>
      <c r="N72" s="38"/>
      <c r="O72" s="12">
        <v>0</v>
      </c>
      <c r="P72" s="38"/>
      <c r="Q72" s="12"/>
      <c r="R72" s="12">
        <v>2</v>
      </c>
      <c r="S72" s="12">
        <v>12488610</v>
      </c>
      <c r="T72" s="12">
        <v>186527124</v>
      </c>
      <c r="U72" s="12">
        <v>8696865</v>
      </c>
      <c r="V72" s="12">
        <v>50957629</v>
      </c>
      <c r="W72" s="12">
        <v>164140146</v>
      </c>
      <c r="X72" s="13"/>
    </row>
    <row r="73" spans="1:24" ht="18" x14ac:dyDescent="0.55000000000000004">
      <c r="A73" s="10">
        <v>1401</v>
      </c>
      <c r="B73" s="10" t="s">
        <v>107</v>
      </c>
      <c r="C73" s="10">
        <v>3040200007</v>
      </c>
      <c r="D73" s="14" t="s">
        <v>118</v>
      </c>
      <c r="E73" s="11" t="s">
        <v>213</v>
      </c>
      <c r="F73" s="10" t="s">
        <v>3</v>
      </c>
      <c r="G73" s="10" t="s">
        <v>0</v>
      </c>
      <c r="H73" s="10" t="s">
        <v>7</v>
      </c>
      <c r="I73" s="10" t="s">
        <v>75</v>
      </c>
      <c r="J73" s="10" t="s">
        <v>181</v>
      </c>
      <c r="L73" s="39">
        <v>19.86</v>
      </c>
      <c r="M73" s="12">
        <v>10240364</v>
      </c>
      <c r="N73" s="38"/>
      <c r="O73" s="12">
        <v>0</v>
      </c>
      <c r="P73" s="38"/>
      <c r="Q73" s="12"/>
      <c r="R73" s="12"/>
      <c r="S73" s="12"/>
      <c r="T73" s="12">
        <v>108940364</v>
      </c>
      <c r="U73" s="12">
        <v>3357536</v>
      </c>
      <c r="V73" s="12">
        <v>18707145</v>
      </c>
      <c r="W73" s="12">
        <v>100617827</v>
      </c>
      <c r="X73" s="13"/>
    </row>
    <row r="74" spans="1:24" ht="18" x14ac:dyDescent="0.55000000000000004">
      <c r="A74" s="10">
        <v>1401</v>
      </c>
      <c r="B74" s="10" t="s">
        <v>107</v>
      </c>
      <c r="C74" s="10">
        <v>3040200009</v>
      </c>
      <c r="D74" s="14" t="s">
        <v>119</v>
      </c>
      <c r="E74" s="11" t="s">
        <v>213</v>
      </c>
      <c r="F74" s="10" t="s">
        <v>3</v>
      </c>
      <c r="G74" s="10" t="s">
        <v>2</v>
      </c>
      <c r="H74" s="10" t="s">
        <v>9</v>
      </c>
      <c r="I74" s="10" t="s">
        <v>135</v>
      </c>
      <c r="J74" s="10" t="s">
        <v>176</v>
      </c>
      <c r="L74" s="39">
        <v>68.61</v>
      </c>
      <c r="M74" s="12">
        <v>24595059</v>
      </c>
      <c r="N74" s="38"/>
      <c r="O74" s="12">
        <v>0</v>
      </c>
      <c r="P74" s="38"/>
      <c r="Q74" s="12"/>
      <c r="R74" s="12"/>
      <c r="S74" s="12"/>
      <c r="T74" s="12">
        <v>106158626</v>
      </c>
      <c r="U74" s="12">
        <v>2207657</v>
      </c>
      <c r="V74" s="12">
        <v>20239497</v>
      </c>
      <c r="W74" s="12">
        <v>96828420</v>
      </c>
      <c r="X74" s="13"/>
    </row>
    <row r="75" spans="1:24" ht="18" x14ac:dyDescent="0.55000000000000004">
      <c r="A75" s="10">
        <v>1401</v>
      </c>
      <c r="B75" s="10" t="s">
        <v>107</v>
      </c>
      <c r="C75" s="10">
        <v>3040200012</v>
      </c>
      <c r="D75" s="14" t="s">
        <v>120</v>
      </c>
      <c r="E75" s="11" t="s">
        <v>213</v>
      </c>
      <c r="F75" s="10" t="s">
        <v>3</v>
      </c>
      <c r="G75" s="10" t="s">
        <v>1</v>
      </c>
      <c r="H75" s="10" t="s">
        <v>17</v>
      </c>
      <c r="I75" s="10" t="s">
        <v>78</v>
      </c>
      <c r="J75" s="10" t="s">
        <v>171</v>
      </c>
      <c r="L75" s="39">
        <v>52.7</v>
      </c>
      <c r="M75" s="12">
        <v>35867869</v>
      </c>
      <c r="N75" s="38"/>
      <c r="O75" s="12">
        <v>0</v>
      </c>
      <c r="P75" s="38"/>
      <c r="Q75" s="12"/>
      <c r="R75" s="12">
        <v>1</v>
      </c>
      <c r="S75" s="12">
        <v>3565072</v>
      </c>
      <c r="T75" s="12">
        <v>173309686</v>
      </c>
      <c r="U75" s="12">
        <v>8466733</v>
      </c>
      <c r="V75" s="12">
        <v>24504771</v>
      </c>
      <c r="W75" s="12">
        <v>159125173</v>
      </c>
      <c r="X75" s="13"/>
    </row>
    <row r="76" spans="1:24" ht="18" x14ac:dyDescent="0.55000000000000004">
      <c r="A76" s="10">
        <v>1401</v>
      </c>
      <c r="B76" s="10" t="s">
        <v>107</v>
      </c>
      <c r="C76" s="10">
        <v>3040200014</v>
      </c>
      <c r="D76" s="14" t="s">
        <v>121</v>
      </c>
      <c r="E76" s="11" t="s">
        <v>213</v>
      </c>
      <c r="F76" s="10" t="s">
        <v>3</v>
      </c>
      <c r="G76" s="10" t="s">
        <v>1</v>
      </c>
      <c r="H76" s="10" t="s">
        <v>10</v>
      </c>
      <c r="I76" s="10" t="s">
        <v>65</v>
      </c>
      <c r="J76" s="10" t="s">
        <v>166</v>
      </c>
      <c r="L76" s="39">
        <v>110.03</v>
      </c>
      <c r="M76" s="12">
        <v>35231215</v>
      </c>
      <c r="N76" s="38">
        <v>57.5</v>
      </c>
      <c r="O76" s="12">
        <v>10554727</v>
      </c>
      <c r="P76" s="38">
        <v>24</v>
      </c>
      <c r="Q76" s="12">
        <v>1761027</v>
      </c>
      <c r="R76" s="12"/>
      <c r="S76" s="12"/>
      <c r="T76" s="12">
        <v>122898698</v>
      </c>
      <c r="U76" s="12">
        <v>3917420</v>
      </c>
      <c r="V76" s="12">
        <v>18707145</v>
      </c>
      <c r="W76" s="12">
        <v>112216277</v>
      </c>
      <c r="X76" s="13"/>
    </row>
    <row r="77" spans="1:24" ht="18" x14ac:dyDescent="0.55000000000000004">
      <c r="A77" s="10">
        <v>1401</v>
      </c>
      <c r="B77" s="10" t="s">
        <v>107</v>
      </c>
      <c r="C77" s="10">
        <v>3040200015</v>
      </c>
      <c r="D77" s="14" t="s">
        <v>122</v>
      </c>
      <c r="E77" s="11" t="s">
        <v>213</v>
      </c>
      <c r="F77" s="10" t="s">
        <v>3</v>
      </c>
      <c r="G77" s="10" t="s">
        <v>2</v>
      </c>
      <c r="H77" s="10" t="s">
        <v>8</v>
      </c>
      <c r="I77" s="10" t="s">
        <v>57</v>
      </c>
      <c r="J77" s="10" t="s">
        <v>173</v>
      </c>
      <c r="L77" s="39">
        <v>5.18</v>
      </c>
      <c r="M77" s="12">
        <v>2396036</v>
      </c>
      <c r="N77" s="38"/>
      <c r="O77" s="12">
        <v>0</v>
      </c>
      <c r="P77" s="38"/>
      <c r="Q77" s="12"/>
      <c r="R77" s="12"/>
      <c r="S77" s="12"/>
      <c r="T77" s="12">
        <v>100817386</v>
      </c>
      <c r="U77" s="12">
        <v>1738454</v>
      </c>
      <c r="V77" s="12">
        <v>17457225</v>
      </c>
      <c r="W77" s="12">
        <v>95005579</v>
      </c>
      <c r="X77" s="13"/>
    </row>
    <row r="78" spans="1:24" ht="18" x14ac:dyDescent="0.55000000000000004">
      <c r="A78" s="10">
        <v>1401</v>
      </c>
      <c r="B78" s="10" t="s">
        <v>107</v>
      </c>
      <c r="C78" s="10">
        <v>3040200017</v>
      </c>
      <c r="D78" s="14" t="s">
        <v>123</v>
      </c>
      <c r="E78" s="11" t="s">
        <v>213</v>
      </c>
      <c r="F78" s="10" t="s">
        <v>3</v>
      </c>
      <c r="G78" s="10" t="s">
        <v>2</v>
      </c>
      <c r="H78" s="10" t="s">
        <v>9</v>
      </c>
      <c r="I78" s="10" t="s">
        <v>60</v>
      </c>
      <c r="J78" s="10" t="s">
        <v>177</v>
      </c>
      <c r="L78" s="39">
        <v>84.75</v>
      </c>
      <c r="M78" s="12">
        <v>38194648</v>
      </c>
      <c r="N78" s="38">
        <v>32.35</v>
      </c>
      <c r="O78" s="12">
        <v>5447794</v>
      </c>
      <c r="P78" s="38"/>
      <c r="Q78" s="12"/>
      <c r="R78" s="12"/>
      <c r="S78" s="12"/>
      <c r="T78" s="12">
        <v>136003117</v>
      </c>
      <c r="U78" s="12">
        <v>5659812</v>
      </c>
      <c r="V78" s="12">
        <v>18108225</v>
      </c>
      <c r="W78" s="12">
        <v>125518052</v>
      </c>
      <c r="X78" s="13"/>
    </row>
    <row r="79" spans="1:24" ht="18" x14ac:dyDescent="0.55000000000000004">
      <c r="A79" s="10">
        <v>1401</v>
      </c>
      <c r="B79" s="10" t="s">
        <v>107</v>
      </c>
      <c r="C79" s="10">
        <v>3040200019</v>
      </c>
      <c r="D79" s="14" t="s">
        <v>124</v>
      </c>
      <c r="E79" s="11" t="s">
        <v>213</v>
      </c>
      <c r="F79" s="10" t="s">
        <v>3</v>
      </c>
      <c r="G79" s="10" t="s">
        <v>2</v>
      </c>
      <c r="H79" s="10" t="s">
        <v>9</v>
      </c>
      <c r="I79" s="10" t="s">
        <v>58</v>
      </c>
      <c r="J79" s="10" t="s">
        <v>178</v>
      </c>
      <c r="L79" s="39">
        <v>43.38</v>
      </c>
      <c r="M79" s="12">
        <v>14144647</v>
      </c>
      <c r="N79" s="38"/>
      <c r="O79" s="12">
        <v>0</v>
      </c>
      <c r="P79" s="38"/>
      <c r="Q79" s="12"/>
      <c r="R79" s="12"/>
      <c r="S79" s="12"/>
      <c r="T79" s="12">
        <v>90446628</v>
      </c>
      <c r="U79" s="12">
        <v>672213</v>
      </c>
      <c r="V79" s="12">
        <v>18707145</v>
      </c>
      <c r="W79" s="12">
        <v>83009414</v>
      </c>
      <c r="X79" s="13"/>
    </row>
    <row r="80" spans="1:24" ht="18" x14ac:dyDescent="0.55000000000000004">
      <c r="A80" s="10">
        <v>1401</v>
      </c>
      <c r="B80" s="10" t="s">
        <v>107</v>
      </c>
      <c r="C80" s="10">
        <v>3040200020</v>
      </c>
      <c r="D80" s="14" t="s">
        <v>125</v>
      </c>
      <c r="E80" s="11" t="s">
        <v>213</v>
      </c>
      <c r="F80" s="10" t="s">
        <v>3</v>
      </c>
      <c r="G80" s="10" t="s">
        <v>2</v>
      </c>
      <c r="H80" s="10" t="s">
        <v>9</v>
      </c>
      <c r="I80" s="10" t="s">
        <v>62</v>
      </c>
      <c r="J80" s="10" t="s">
        <v>176</v>
      </c>
      <c r="L80" s="39">
        <v>78.08</v>
      </c>
      <c r="M80" s="12">
        <v>34782576</v>
      </c>
      <c r="N80" s="38">
        <v>9.66</v>
      </c>
      <c r="O80" s="12">
        <v>1230303</v>
      </c>
      <c r="P80" s="38"/>
      <c r="Q80" s="12"/>
      <c r="R80" s="12"/>
      <c r="S80" s="12"/>
      <c r="T80" s="12">
        <v>133346212</v>
      </c>
      <c r="U80" s="12">
        <v>5798121</v>
      </c>
      <c r="V80" s="12">
        <v>18707145</v>
      </c>
      <c r="W80" s="12">
        <v>122583090</v>
      </c>
      <c r="X80" s="13"/>
    </row>
    <row r="81" spans="1:24" ht="18" x14ac:dyDescent="0.55000000000000004">
      <c r="A81" s="10">
        <v>1401</v>
      </c>
      <c r="B81" s="10" t="s">
        <v>107</v>
      </c>
      <c r="C81" s="10">
        <v>3040200024</v>
      </c>
      <c r="D81" s="14" t="s">
        <v>126</v>
      </c>
      <c r="E81" s="11" t="s">
        <v>213</v>
      </c>
      <c r="F81" s="10" t="s">
        <v>3</v>
      </c>
      <c r="G81" s="10" t="s">
        <v>1</v>
      </c>
      <c r="H81" s="10" t="s">
        <v>10</v>
      </c>
      <c r="I81" s="10" t="s">
        <v>64</v>
      </c>
      <c r="J81" s="10" t="s">
        <v>166</v>
      </c>
      <c r="L81" s="39">
        <v>80.510000000000005</v>
      </c>
      <c r="M81" s="12">
        <v>24162151</v>
      </c>
      <c r="N81" s="38">
        <v>23.76</v>
      </c>
      <c r="O81" s="12">
        <v>2037746</v>
      </c>
      <c r="P81" s="38">
        <v>103.36</v>
      </c>
      <c r="Q81" s="12">
        <v>7108105</v>
      </c>
      <c r="R81" s="12"/>
      <c r="S81" s="12"/>
      <c r="T81" s="12">
        <v>101216459</v>
      </c>
      <c r="U81" s="12">
        <v>2196336</v>
      </c>
      <c r="V81" s="12">
        <v>17457225</v>
      </c>
      <c r="W81" s="12">
        <v>93146770</v>
      </c>
      <c r="X81" s="13"/>
    </row>
    <row r="82" spans="1:24" ht="18" x14ac:dyDescent="0.55000000000000004">
      <c r="A82" s="10">
        <v>1401</v>
      </c>
      <c r="B82" s="10" t="s">
        <v>107</v>
      </c>
      <c r="C82" s="10">
        <v>3040200025</v>
      </c>
      <c r="D82" s="14" t="s">
        <v>127</v>
      </c>
      <c r="E82" s="11" t="s">
        <v>213</v>
      </c>
      <c r="F82" s="10" t="s">
        <v>3</v>
      </c>
      <c r="G82" s="10" t="s">
        <v>1</v>
      </c>
      <c r="H82" s="10" t="s">
        <v>12</v>
      </c>
      <c r="I82" s="10" t="s">
        <v>70</v>
      </c>
      <c r="J82" s="10" t="s">
        <v>167</v>
      </c>
      <c r="L82" s="39">
        <v>57.1</v>
      </c>
      <c r="M82" s="12">
        <v>19171672</v>
      </c>
      <c r="N82" s="38">
        <v>54</v>
      </c>
      <c r="O82" s="12">
        <v>9497100</v>
      </c>
      <c r="P82" s="38"/>
      <c r="Q82" s="12"/>
      <c r="R82" s="12"/>
      <c r="S82" s="12"/>
      <c r="T82" s="12">
        <v>98189163</v>
      </c>
      <c r="U82" s="12">
        <v>2311581</v>
      </c>
      <c r="V82" s="12">
        <v>17457225</v>
      </c>
      <c r="W82" s="12">
        <v>91204229</v>
      </c>
      <c r="X82" s="13"/>
    </row>
    <row r="83" spans="1:24" ht="18" x14ac:dyDescent="0.55000000000000004">
      <c r="A83" s="10">
        <v>1401</v>
      </c>
      <c r="B83" s="10" t="s">
        <v>107</v>
      </c>
      <c r="C83" s="10">
        <v>3040200060</v>
      </c>
      <c r="D83" s="14" t="s">
        <v>128</v>
      </c>
      <c r="E83" s="11" t="s">
        <v>213</v>
      </c>
      <c r="F83" s="10" t="s">
        <v>3</v>
      </c>
      <c r="G83" s="10" t="s">
        <v>1</v>
      </c>
      <c r="H83" s="10" t="s">
        <v>14</v>
      </c>
      <c r="I83" s="10" t="s">
        <v>73</v>
      </c>
      <c r="J83" s="10" t="s">
        <v>193</v>
      </c>
      <c r="L83" s="39">
        <v>80.849999999999994</v>
      </c>
      <c r="M83" s="12">
        <v>34644635</v>
      </c>
      <c r="N83" s="38">
        <v>7.16</v>
      </c>
      <c r="O83" s="12">
        <v>877415</v>
      </c>
      <c r="P83" s="38"/>
      <c r="Q83" s="12"/>
      <c r="R83" s="12"/>
      <c r="S83" s="12"/>
      <c r="T83" s="12">
        <v>128462612</v>
      </c>
      <c r="U83" s="12">
        <v>4487785</v>
      </c>
      <c r="V83" s="12">
        <v>18108225</v>
      </c>
      <c r="W83" s="12">
        <v>117349574</v>
      </c>
      <c r="X83" s="13"/>
    </row>
    <row r="84" spans="1:24" ht="18" x14ac:dyDescent="0.55000000000000004">
      <c r="A84" s="10">
        <v>1401</v>
      </c>
      <c r="B84" s="10" t="s">
        <v>107</v>
      </c>
      <c r="C84" s="10">
        <v>3040200074</v>
      </c>
      <c r="D84" s="14" t="s">
        <v>129</v>
      </c>
      <c r="E84" s="11" t="s">
        <v>213</v>
      </c>
      <c r="F84" s="10" t="s">
        <v>3</v>
      </c>
      <c r="G84" s="10" t="s">
        <v>0</v>
      </c>
      <c r="H84" s="10" t="s">
        <v>11</v>
      </c>
      <c r="I84" s="10" t="s">
        <v>68</v>
      </c>
      <c r="J84" s="10" t="s">
        <v>169</v>
      </c>
      <c r="L84" s="39">
        <v>48.21</v>
      </c>
      <c r="M84" s="12">
        <v>20251000</v>
      </c>
      <c r="N84" s="38"/>
      <c r="O84" s="12">
        <v>0</v>
      </c>
      <c r="P84" s="38"/>
      <c r="Q84" s="12"/>
      <c r="R84" s="12"/>
      <c r="S84" s="12"/>
      <c r="T84" s="12">
        <v>103451000</v>
      </c>
      <c r="U84" s="12">
        <v>2837764</v>
      </c>
      <c r="V84" s="12">
        <v>17457225</v>
      </c>
      <c r="W84" s="12">
        <v>95939883</v>
      </c>
      <c r="X84" s="13"/>
    </row>
    <row r="85" spans="1:24" ht="18" x14ac:dyDescent="0.55000000000000004">
      <c r="A85" s="10">
        <v>1401</v>
      </c>
      <c r="B85" s="10" t="s">
        <v>107</v>
      </c>
      <c r="C85" s="10">
        <v>3040200075</v>
      </c>
      <c r="D85" s="14" t="s">
        <v>130</v>
      </c>
      <c r="E85" s="11" t="s">
        <v>213</v>
      </c>
      <c r="F85" s="10" t="s">
        <v>3</v>
      </c>
      <c r="G85" s="10" t="s">
        <v>1</v>
      </c>
      <c r="H85" s="10" t="s">
        <v>10</v>
      </c>
      <c r="I85" s="10" t="s">
        <v>64</v>
      </c>
      <c r="J85" s="10" t="s">
        <v>166</v>
      </c>
      <c r="L85" s="39">
        <v>152.41</v>
      </c>
      <c r="M85" s="12">
        <v>40540409</v>
      </c>
      <c r="N85" s="38">
        <v>65.33</v>
      </c>
      <c r="O85" s="12">
        <v>9771749</v>
      </c>
      <c r="P85" s="38">
        <v>175</v>
      </c>
      <c r="Q85" s="12">
        <v>10669509</v>
      </c>
      <c r="R85" s="12"/>
      <c r="S85" s="12"/>
      <c r="T85" s="12">
        <v>123352167</v>
      </c>
      <c r="U85" s="12">
        <v>4409906</v>
      </c>
      <c r="V85" s="12">
        <v>17457225</v>
      </c>
      <c r="W85" s="12">
        <v>113068908</v>
      </c>
      <c r="X85" s="13"/>
    </row>
    <row r="86" spans="1:24" ht="18" x14ac:dyDescent="0.55000000000000004">
      <c r="A86" s="10">
        <v>1401</v>
      </c>
      <c r="B86" s="10" t="s">
        <v>107</v>
      </c>
      <c r="C86" s="10">
        <v>3040200076</v>
      </c>
      <c r="D86" s="14" t="s">
        <v>131</v>
      </c>
      <c r="E86" s="11" t="s">
        <v>213</v>
      </c>
      <c r="F86" s="10" t="s">
        <v>3</v>
      </c>
      <c r="G86" s="10" t="s">
        <v>2</v>
      </c>
      <c r="H86" s="10" t="s">
        <v>9</v>
      </c>
      <c r="I86" s="10" t="s">
        <v>60</v>
      </c>
      <c r="J86" s="10" t="s">
        <v>177</v>
      </c>
      <c r="L86" s="39">
        <v>71.680000000000007</v>
      </c>
      <c r="M86" s="12">
        <v>34212500</v>
      </c>
      <c r="N86" s="38">
        <v>25.16</v>
      </c>
      <c r="O86" s="12">
        <v>6909091</v>
      </c>
      <c r="P86" s="38"/>
      <c r="Q86" s="12"/>
      <c r="R86" s="12"/>
      <c r="S86" s="12"/>
      <c r="T86" s="12">
        <v>133621591</v>
      </c>
      <c r="U86" s="12">
        <v>5854824</v>
      </c>
      <c r="V86" s="12">
        <v>17457225</v>
      </c>
      <c r="W86" s="12">
        <v>122493414</v>
      </c>
      <c r="X86" s="13"/>
    </row>
    <row r="87" spans="1:24" ht="18" x14ac:dyDescent="0.55000000000000004">
      <c r="A87" s="10">
        <v>1401</v>
      </c>
      <c r="B87" s="10" t="s">
        <v>107</v>
      </c>
      <c r="C87" s="10">
        <v>3040210004</v>
      </c>
      <c r="D87" s="14" t="s">
        <v>132</v>
      </c>
      <c r="E87" s="11" t="s">
        <v>213</v>
      </c>
      <c r="F87" s="10" t="s">
        <v>4</v>
      </c>
      <c r="G87" s="10" t="s">
        <v>0</v>
      </c>
      <c r="H87" s="10" t="s">
        <v>6</v>
      </c>
      <c r="I87" s="10" t="s">
        <v>39</v>
      </c>
      <c r="J87" s="10" t="s">
        <v>190</v>
      </c>
      <c r="L87" s="39">
        <v>99</v>
      </c>
      <c r="M87" s="12">
        <v>60594835</v>
      </c>
      <c r="N87" s="38"/>
      <c r="O87" s="12">
        <v>0</v>
      </c>
      <c r="P87" s="38"/>
      <c r="Q87" s="12"/>
      <c r="R87" s="12"/>
      <c r="S87" s="12"/>
      <c r="T87" s="12">
        <v>174983189</v>
      </c>
      <c r="U87" s="12">
        <v>9975794</v>
      </c>
      <c r="V87" s="12">
        <v>18108225</v>
      </c>
      <c r="W87" s="12">
        <v>160182142</v>
      </c>
      <c r="X87" s="13"/>
    </row>
    <row r="88" spans="1:24" ht="18" x14ac:dyDescent="0.55000000000000004">
      <c r="A88" s="10">
        <v>1401</v>
      </c>
      <c r="B88" s="10" t="s">
        <v>107</v>
      </c>
      <c r="C88" s="10">
        <v>3040210005</v>
      </c>
      <c r="D88" s="14" t="s">
        <v>133</v>
      </c>
      <c r="E88" s="11" t="s">
        <v>213</v>
      </c>
      <c r="F88" s="10" t="s">
        <v>4</v>
      </c>
      <c r="G88" s="10" t="s">
        <v>0</v>
      </c>
      <c r="H88" s="10" t="s">
        <v>7</v>
      </c>
      <c r="I88" s="10" t="s">
        <v>46</v>
      </c>
      <c r="J88" s="10" t="s">
        <v>191</v>
      </c>
      <c r="L88" s="39">
        <v>7.71</v>
      </c>
      <c r="M88" s="12">
        <v>3486530</v>
      </c>
      <c r="N88" s="38"/>
      <c r="O88" s="12">
        <v>0</v>
      </c>
      <c r="P88" s="38"/>
      <c r="Q88" s="12"/>
      <c r="R88" s="12"/>
      <c r="S88" s="12"/>
      <c r="T88" s="12">
        <v>91853197</v>
      </c>
      <c r="U88" s="12">
        <v>1662795</v>
      </c>
      <c r="V88" s="12">
        <v>18108225</v>
      </c>
      <c r="W88" s="12">
        <v>85365149</v>
      </c>
      <c r="X88" s="13"/>
    </row>
    <row r="89" spans="1:24" ht="18" x14ac:dyDescent="0.55000000000000004">
      <c r="A89" s="10">
        <v>1401</v>
      </c>
      <c r="B89" s="10" t="s">
        <v>107</v>
      </c>
      <c r="C89" s="10">
        <v>5010100004</v>
      </c>
      <c r="D89" s="14" t="s">
        <v>134</v>
      </c>
      <c r="E89" s="11" t="s">
        <v>213</v>
      </c>
      <c r="F89" s="10" t="s">
        <v>4</v>
      </c>
      <c r="G89" s="10" t="s">
        <v>0</v>
      </c>
      <c r="H89" s="10" t="s">
        <v>5</v>
      </c>
      <c r="I89" s="10" t="s">
        <v>20</v>
      </c>
      <c r="J89" s="10" t="s">
        <v>189</v>
      </c>
      <c r="L89" s="39"/>
      <c r="M89" s="12">
        <v>0</v>
      </c>
      <c r="N89" s="38"/>
      <c r="O89" s="12">
        <v>0</v>
      </c>
      <c r="P89" s="38"/>
      <c r="Q89" s="12"/>
      <c r="R89" s="12"/>
      <c r="S89" s="12"/>
      <c r="T89" s="12">
        <v>174038514</v>
      </c>
      <c r="U89" s="12">
        <v>8696865</v>
      </c>
      <c r="V89" s="12">
        <v>50957629</v>
      </c>
      <c r="W89" s="12">
        <v>151651536</v>
      </c>
      <c r="X89" s="13"/>
    </row>
    <row r="90" spans="1:24" ht="18" x14ac:dyDescent="0.55000000000000004">
      <c r="A90" s="10">
        <v>1401</v>
      </c>
      <c r="B90" s="10" t="s">
        <v>108</v>
      </c>
      <c r="C90" s="10">
        <v>3040200007</v>
      </c>
      <c r="D90" s="14" t="s">
        <v>118</v>
      </c>
      <c r="E90" s="11" t="s">
        <v>213</v>
      </c>
      <c r="F90" s="10" t="s">
        <v>3</v>
      </c>
      <c r="G90" s="10" t="s">
        <v>0</v>
      </c>
      <c r="H90" s="10" t="s">
        <v>7</v>
      </c>
      <c r="I90" s="10" t="s">
        <v>75</v>
      </c>
      <c r="J90" s="10" t="s">
        <v>181</v>
      </c>
      <c r="L90" s="39">
        <v>10.58</v>
      </c>
      <c r="M90" s="12">
        <v>5455227</v>
      </c>
      <c r="N90" s="38"/>
      <c r="O90" s="12">
        <v>0</v>
      </c>
      <c r="P90" s="38"/>
      <c r="Q90" s="12"/>
      <c r="R90" s="12"/>
      <c r="S90" s="12"/>
      <c r="T90" s="12">
        <v>104155227</v>
      </c>
      <c r="U90" s="12">
        <v>2879023</v>
      </c>
      <c r="V90" s="12">
        <v>18707145</v>
      </c>
      <c r="W90" s="12">
        <v>96311203</v>
      </c>
      <c r="X90" s="13"/>
    </row>
    <row r="91" spans="1:24" ht="18" x14ac:dyDescent="0.55000000000000004">
      <c r="A91" s="10">
        <v>1401</v>
      </c>
      <c r="B91" s="10" t="s">
        <v>108</v>
      </c>
      <c r="C91" s="10">
        <v>3040200009</v>
      </c>
      <c r="D91" s="14" t="s">
        <v>119</v>
      </c>
      <c r="E91" s="11" t="s">
        <v>213</v>
      </c>
      <c r="F91" s="10" t="s">
        <v>3</v>
      </c>
      <c r="G91" s="10" t="s">
        <v>2</v>
      </c>
      <c r="H91" s="10" t="s">
        <v>9</v>
      </c>
      <c r="I91" s="10" t="s">
        <v>135</v>
      </c>
      <c r="J91" s="10" t="s">
        <v>176</v>
      </c>
      <c r="L91" s="39">
        <v>71.91</v>
      </c>
      <c r="M91" s="12">
        <v>25777915</v>
      </c>
      <c r="N91" s="38"/>
      <c r="O91" s="12">
        <v>0</v>
      </c>
      <c r="P91" s="38"/>
      <c r="Q91" s="12"/>
      <c r="R91" s="12"/>
      <c r="S91" s="12"/>
      <c r="T91" s="12">
        <v>107341482</v>
      </c>
      <c r="U91" s="12">
        <v>2325944</v>
      </c>
      <c r="V91" s="12">
        <v>20239497</v>
      </c>
      <c r="W91" s="12">
        <v>97892989</v>
      </c>
      <c r="X91" s="13"/>
    </row>
    <row r="92" spans="1:24" ht="18" x14ac:dyDescent="0.55000000000000004">
      <c r="A92" s="10">
        <v>1401</v>
      </c>
      <c r="B92" s="10" t="s">
        <v>108</v>
      </c>
      <c r="C92" s="10">
        <v>3040200012</v>
      </c>
      <c r="D92" s="14" t="s">
        <v>120</v>
      </c>
      <c r="E92" s="11" t="s">
        <v>213</v>
      </c>
      <c r="F92" s="10" t="s">
        <v>3</v>
      </c>
      <c r="G92" s="10" t="s">
        <v>1</v>
      </c>
      <c r="H92" s="10" t="s">
        <v>17</v>
      </c>
      <c r="I92" s="10" t="s">
        <v>78</v>
      </c>
      <c r="J92" s="10" t="s">
        <v>171</v>
      </c>
      <c r="L92" s="39">
        <v>53.6</v>
      </c>
      <c r="M92" s="12">
        <v>36480414</v>
      </c>
      <c r="N92" s="38">
        <v>4</v>
      </c>
      <c r="O92" s="12">
        <v>777834</v>
      </c>
      <c r="P92" s="38"/>
      <c r="Q92" s="12"/>
      <c r="R92" s="12">
        <v>2</v>
      </c>
      <c r="S92" s="12">
        <v>7130144</v>
      </c>
      <c r="T92" s="12">
        <v>178265137</v>
      </c>
      <c r="U92" s="12">
        <v>8605772</v>
      </c>
      <c r="V92" s="12">
        <v>24504771</v>
      </c>
      <c r="W92" s="12">
        <v>163941585</v>
      </c>
      <c r="X92" s="13"/>
    </row>
    <row r="93" spans="1:24" ht="18" x14ac:dyDescent="0.55000000000000004">
      <c r="A93" s="10">
        <v>1401</v>
      </c>
      <c r="B93" s="10" t="s">
        <v>108</v>
      </c>
      <c r="C93" s="10">
        <v>3040200014</v>
      </c>
      <c r="D93" s="14" t="s">
        <v>121</v>
      </c>
      <c r="E93" s="11" t="s">
        <v>213</v>
      </c>
      <c r="F93" s="10" t="s">
        <v>3</v>
      </c>
      <c r="G93" s="10" t="s">
        <v>1</v>
      </c>
      <c r="H93" s="10" t="s">
        <v>10</v>
      </c>
      <c r="I93" s="10" t="s">
        <v>65</v>
      </c>
      <c r="J93" s="10" t="s">
        <v>166</v>
      </c>
      <c r="L93" s="39">
        <v>129.91</v>
      </c>
      <c r="M93" s="12">
        <v>38395728</v>
      </c>
      <c r="N93" s="38">
        <v>41.91</v>
      </c>
      <c r="O93" s="12">
        <v>6045431</v>
      </c>
      <c r="P93" s="38">
        <v>7.7</v>
      </c>
      <c r="Q93" s="12">
        <v>563529</v>
      </c>
      <c r="R93" s="12"/>
      <c r="S93" s="12"/>
      <c r="T93" s="12">
        <v>120356417</v>
      </c>
      <c r="U93" s="12">
        <v>3663192</v>
      </c>
      <c r="V93" s="12">
        <v>18707145</v>
      </c>
      <c r="W93" s="12">
        <v>109928224</v>
      </c>
      <c r="X93" s="13"/>
    </row>
    <row r="94" spans="1:24" ht="18" x14ac:dyDescent="0.55000000000000004">
      <c r="A94" s="10">
        <v>1401</v>
      </c>
      <c r="B94" s="10" t="s">
        <v>108</v>
      </c>
      <c r="C94" s="10">
        <v>3040200015</v>
      </c>
      <c r="D94" s="14" t="s">
        <v>122</v>
      </c>
      <c r="E94" s="11" t="s">
        <v>213</v>
      </c>
      <c r="F94" s="10" t="s">
        <v>3</v>
      </c>
      <c r="G94" s="10" t="s">
        <v>2</v>
      </c>
      <c r="H94" s="10" t="s">
        <v>8</v>
      </c>
      <c r="I94" s="10" t="s">
        <v>57</v>
      </c>
      <c r="J94" s="10" t="s">
        <v>173</v>
      </c>
      <c r="L94" s="39">
        <v>5.18</v>
      </c>
      <c r="M94" s="12">
        <v>2396036</v>
      </c>
      <c r="N94" s="38"/>
      <c r="O94" s="12">
        <v>0</v>
      </c>
      <c r="P94" s="38"/>
      <c r="Q94" s="12"/>
      <c r="R94" s="12"/>
      <c r="S94" s="12"/>
      <c r="T94" s="12">
        <v>100817386</v>
      </c>
      <c r="U94" s="12">
        <v>1738453</v>
      </c>
      <c r="V94" s="12">
        <v>17457225</v>
      </c>
      <c r="W94" s="12">
        <v>95005580</v>
      </c>
      <c r="X94" s="13"/>
    </row>
    <row r="95" spans="1:24" ht="18" x14ac:dyDescent="0.55000000000000004">
      <c r="A95" s="10">
        <v>1401</v>
      </c>
      <c r="B95" s="10" t="s">
        <v>108</v>
      </c>
      <c r="C95" s="10">
        <v>3040200017</v>
      </c>
      <c r="D95" s="14" t="s">
        <v>123</v>
      </c>
      <c r="E95" s="11" t="s">
        <v>213</v>
      </c>
      <c r="F95" s="10" t="s">
        <v>3</v>
      </c>
      <c r="G95" s="10" t="s">
        <v>2</v>
      </c>
      <c r="H95" s="10" t="s">
        <v>9</v>
      </c>
      <c r="I95" s="10" t="s">
        <v>60</v>
      </c>
      <c r="J95" s="10" t="s">
        <v>177</v>
      </c>
      <c r="L95" s="39">
        <v>89.35</v>
      </c>
      <c r="M95" s="12">
        <v>40267750</v>
      </c>
      <c r="N95" s="38">
        <v>34.86</v>
      </c>
      <c r="O95" s="12">
        <v>7703312</v>
      </c>
      <c r="P95" s="38"/>
      <c r="Q95" s="12"/>
      <c r="R95" s="12"/>
      <c r="S95" s="12"/>
      <c r="T95" s="12">
        <v>140331737</v>
      </c>
      <c r="U95" s="12">
        <v>6092673</v>
      </c>
      <c r="V95" s="12">
        <v>18108225</v>
      </c>
      <c r="W95" s="12">
        <v>129413811</v>
      </c>
      <c r="X95" s="13"/>
    </row>
    <row r="96" spans="1:24" ht="18" x14ac:dyDescent="0.55000000000000004">
      <c r="A96" s="10">
        <v>1401</v>
      </c>
      <c r="B96" s="10" t="s">
        <v>108</v>
      </c>
      <c r="C96" s="10">
        <v>3040200019</v>
      </c>
      <c r="D96" s="14" t="s">
        <v>124</v>
      </c>
      <c r="E96" s="11" t="s">
        <v>213</v>
      </c>
      <c r="F96" s="10" t="s">
        <v>3</v>
      </c>
      <c r="G96" s="10" t="s">
        <v>2</v>
      </c>
      <c r="H96" s="10" t="s">
        <v>9</v>
      </c>
      <c r="I96" s="10" t="s">
        <v>58</v>
      </c>
      <c r="J96" s="10" t="s">
        <v>178</v>
      </c>
      <c r="L96" s="39">
        <v>53.68</v>
      </c>
      <c r="M96" s="12">
        <v>17502846</v>
      </c>
      <c r="N96" s="38"/>
      <c r="O96" s="12">
        <v>0</v>
      </c>
      <c r="P96" s="38"/>
      <c r="Q96" s="12"/>
      <c r="R96" s="12"/>
      <c r="S96" s="12"/>
      <c r="T96" s="12">
        <v>93804827</v>
      </c>
      <c r="U96" s="12">
        <v>1008033</v>
      </c>
      <c r="V96" s="12">
        <v>18707145</v>
      </c>
      <c r="W96" s="12">
        <v>86031793</v>
      </c>
      <c r="X96" s="13"/>
    </row>
    <row r="97" spans="1:24" ht="18" x14ac:dyDescent="0.55000000000000004">
      <c r="A97" s="10">
        <v>1401</v>
      </c>
      <c r="B97" s="10" t="s">
        <v>108</v>
      </c>
      <c r="C97" s="10">
        <v>3040200020</v>
      </c>
      <c r="D97" s="14" t="s">
        <v>125</v>
      </c>
      <c r="E97" s="11" t="s">
        <v>213</v>
      </c>
      <c r="F97" s="10" t="s">
        <v>3</v>
      </c>
      <c r="G97" s="10" t="s">
        <v>2</v>
      </c>
      <c r="H97" s="10" t="s">
        <v>9</v>
      </c>
      <c r="I97" s="10" t="s">
        <v>62</v>
      </c>
      <c r="J97" s="10" t="s">
        <v>176</v>
      </c>
      <c r="L97" s="39">
        <v>72.8</v>
      </c>
      <c r="M97" s="12">
        <v>32429091</v>
      </c>
      <c r="N97" s="38">
        <v>8.73</v>
      </c>
      <c r="O97" s="12">
        <v>1111515</v>
      </c>
      <c r="P97" s="38"/>
      <c r="Q97" s="12"/>
      <c r="R97" s="12"/>
      <c r="S97" s="12"/>
      <c r="T97" s="12">
        <v>130873939</v>
      </c>
      <c r="U97" s="12">
        <v>5550894</v>
      </c>
      <c r="V97" s="12">
        <v>18707145</v>
      </c>
      <c r="W97" s="12">
        <v>120358044</v>
      </c>
      <c r="X97" s="13"/>
    </row>
    <row r="98" spans="1:24" ht="18" x14ac:dyDescent="0.55000000000000004">
      <c r="A98" s="10">
        <v>1401</v>
      </c>
      <c r="B98" s="10" t="s">
        <v>108</v>
      </c>
      <c r="C98" s="10">
        <v>3040200024</v>
      </c>
      <c r="D98" s="14" t="s">
        <v>126</v>
      </c>
      <c r="E98" s="11" t="s">
        <v>213</v>
      </c>
      <c r="F98" s="10" t="s">
        <v>3</v>
      </c>
      <c r="G98" s="10" t="s">
        <v>1</v>
      </c>
      <c r="H98" s="10" t="s">
        <v>10</v>
      </c>
      <c r="I98" s="10" t="s">
        <v>64</v>
      </c>
      <c r="J98" s="10" t="s">
        <v>166</v>
      </c>
      <c r="L98" s="39">
        <v>178.56</v>
      </c>
      <c r="M98" s="12">
        <v>53585858</v>
      </c>
      <c r="N98" s="38">
        <v>52.53</v>
      </c>
      <c r="O98" s="12">
        <v>4504190</v>
      </c>
      <c r="P98" s="38">
        <v>188.68</v>
      </c>
      <c r="Q98" s="12">
        <v>12978343</v>
      </c>
      <c r="R98" s="12"/>
      <c r="S98" s="12"/>
      <c r="T98" s="12">
        <v>138976848</v>
      </c>
      <c r="U98" s="12">
        <v>5972374</v>
      </c>
      <c r="V98" s="12">
        <v>17457225</v>
      </c>
      <c r="W98" s="12">
        <v>127131121</v>
      </c>
      <c r="X98" s="13"/>
    </row>
    <row r="99" spans="1:24" ht="18" x14ac:dyDescent="0.55000000000000004">
      <c r="A99" s="10">
        <v>1401</v>
      </c>
      <c r="B99" s="10" t="s">
        <v>108</v>
      </c>
      <c r="C99" s="10">
        <v>3040200025</v>
      </c>
      <c r="D99" s="14" t="s">
        <v>127</v>
      </c>
      <c r="E99" s="11" t="s">
        <v>213</v>
      </c>
      <c r="F99" s="10" t="s">
        <v>3</v>
      </c>
      <c r="G99" s="10" t="s">
        <v>1</v>
      </c>
      <c r="H99" s="10" t="s">
        <v>12</v>
      </c>
      <c r="I99" s="10" t="s">
        <v>70</v>
      </c>
      <c r="J99" s="10" t="s">
        <v>167</v>
      </c>
      <c r="L99" s="39">
        <v>62</v>
      </c>
      <c r="M99" s="12">
        <v>20816876</v>
      </c>
      <c r="N99" s="38">
        <v>46.9</v>
      </c>
      <c r="O99" s="12">
        <v>6417738</v>
      </c>
      <c r="P99" s="38"/>
      <c r="Q99" s="12"/>
      <c r="R99" s="12"/>
      <c r="S99" s="12"/>
      <c r="T99" s="12">
        <v>96755005</v>
      </c>
      <c r="U99" s="12">
        <v>2168165</v>
      </c>
      <c r="V99" s="12">
        <v>17457225</v>
      </c>
      <c r="W99" s="12">
        <v>89913487</v>
      </c>
      <c r="X99" s="13"/>
    </row>
    <row r="100" spans="1:24" ht="18" x14ac:dyDescent="0.55000000000000004">
      <c r="A100" s="10">
        <v>1401</v>
      </c>
      <c r="B100" s="10" t="s">
        <v>108</v>
      </c>
      <c r="C100" s="10">
        <v>3040200060</v>
      </c>
      <c r="D100" s="14" t="s">
        <v>128</v>
      </c>
      <c r="E100" s="11" t="s">
        <v>213</v>
      </c>
      <c r="F100" s="10" t="s">
        <v>3</v>
      </c>
      <c r="G100" s="10" t="s">
        <v>1</v>
      </c>
      <c r="H100" s="10" t="s">
        <v>14</v>
      </c>
      <c r="I100" s="10" t="s">
        <v>73</v>
      </c>
      <c r="J100" s="10" t="s">
        <v>193</v>
      </c>
      <c r="L100" s="39">
        <v>66.709999999999994</v>
      </c>
      <c r="M100" s="12">
        <v>28588431</v>
      </c>
      <c r="N100" s="38">
        <v>8.1999999999999993</v>
      </c>
      <c r="O100" s="12">
        <v>1003926</v>
      </c>
      <c r="P100" s="38"/>
      <c r="Q100" s="12"/>
      <c r="R100" s="12"/>
      <c r="S100" s="12"/>
      <c r="T100" s="12">
        <v>122532919</v>
      </c>
      <c r="U100" s="12">
        <v>3894817</v>
      </c>
      <c r="V100" s="12">
        <v>18108225</v>
      </c>
      <c r="W100" s="12">
        <v>112012849</v>
      </c>
      <c r="X100" s="13"/>
    </row>
    <row r="101" spans="1:24" ht="18" x14ac:dyDescent="0.55000000000000004">
      <c r="A101" s="10">
        <v>1401</v>
      </c>
      <c r="B101" s="10" t="s">
        <v>108</v>
      </c>
      <c r="C101" s="10">
        <v>3040200074</v>
      </c>
      <c r="D101" s="14" t="s">
        <v>129</v>
      </c>
      <c r="E101" s="11" t="s">
        <v>213</v>
      </c>
      <c r="F101" s="10" t="s">
        <v>3</v>
      </c>
      <c r="G101" s="10" t="s">
        <v>0</v>
      </c>
      <c r="H101" s="10" t="s">
        <v>11</v>
      </c>
      <c r="I101" s="10" t="s">
        <v>68</v>
      </c>
      <c r="J101" s="10" t="s">
        <v>169</v>
      </c>
      <c r="L101" s="39">
        <v>34.880000000000003</v>
      </c>
      <c r="M101" s="12">
        <v>14651000</v>
      </c>
      <c r="N101" s="38"/>
      <c r="O101" s="12">
        <v>0</v>
      </c>
      <c r="P101" s="38"/>
      <c r="Q101" s="12"/>
      <c r="R101" s="12"/>
      <c r="S101" s="12"/>
      <c r="T101" s="12">
        <v>97851000</v>
      </c>
      <c r="U101" s="12">
        <v>2277765</v>
      </c>
      <c r="V101" s="12">
        <v>17457225</v>
      </c>
      <c r="W101" s="12">
        <v>90899882</v>
      </c>
      <c r="X101" s="13"/>
    </row>
    <row r="102" spans="1:24" ht="18" x14ac:dyDescent="0.55000000000000004">
      <c r="A102" s="10">
        <v>1401</v>
      </c>
      <c r="B102" s="10" t="s">
        <v>108</v>
      </c>
      <c r="C102" s="10">
        <v>3040200075</v>
      </c>
      <c r="D102" s="14" t="s">
        <v>130</v>
      </c>
      <c r="E102" s="11" t="s">
        <v>213</v>
      </c>
      <c r="F102" s="10" t="s">
        <v>3</v>
      </c>
      <c r="G102" s="10" t="s">
        <v>1</v>
      </c>
      <c r="H102" s="10" t="s">
        <v>10</v>
      </c>
      <c r="I102" s="10" t="s">
        <v>64</v>
      </c>
      <c r="J102" s="10" t="s">
        <v>166</v>
      </c>
      <c r="L102" s="39">
        <v>62.91</v>
      </c>
      <c r="M102" s="12">
        <v>16734833</v>
      </c>
      <c r="N102" s="38">
        <v>22.25</v>
      </c>
      <c r="O102" s="12">
        <v>4315909</v>
      </c>
      <c r="P102" s="38">
        <v>8.35</v>
      </c>
      <c r="Q102" s="12">
        <v>5203092</v>
      </c>
      <c r="R102" s="12"/>
      <c r="S102" s="12"/>
      <c r="T102" s="12">
        <v>88624334</v>
      </c>
      <c r="U102" s="12">
        <v>937123</v>
      </c>
      <c r="V102" s="12">
        <v>17457225</v>
      </c>
      <c r="W102" s="12">
        <v>81813858</v>
      </c>
      <c r="X102" s="13"/>
    </row>
    <row r="103" spans="1:24" ht="18" x14ac:dyDescent="0.55000000000000004">
      <c r="A103" s="10">
        <v>1401</v>
      </c>
      <c r="B103" s="10" t="s">
        <v>108</v>
      </c>
      <c r="C103" s="10">
        <v>3040200076</v>
      </c>
      <c r="D103" s="14" t="s">
        <v>131</v>
      </c>
      <c r="E103" s="11" t="s">
        <v>213</v>
      </c>
      <c r="F103" s="10" t="s">
        <v>3</v>
      </c>
      <c r="G103" s="10" t="s">
        <v>2</v>
      </c>
      <c r="H103" s="10" t="s">
        <v>9</v>
      </c>
      <c r="I103" s="10" t="s">
        <v>60</v>
      </c>
      <c r="J103" s="10" t="s">
        <v>177</v>
      </c>
      <c r="L103" s="39">
        <v>50.95</v>
      </c>
      <c r="M103" s="12">
        <v>24317046</v>
      </c>
      <c r="N103" s="38">
        <v>9.1300000000000008</v>
      </c>
      <c r="O103" s="12">
        <v>1245455</v>
      </c>
      <c r="P103" s="38"/>
      <c r="Q103" s="12"/>
      <c r="R103" s="12"/>
      <c r="S103" s="12"/>
      <c r="T103" s="12">
        <v>118062501</v>
      </c>
      <c r="U103" s="12">
        <v>4298914</v>
      </c>
      <c r="V103" s="12">
        <v>17457225</v>
      </c>
      <c r="W103" s="12">
        <v>108490234</v>
      </c>
      <c r="X103" s="13"/>
    </row>
    <row r="104" spans="1:24" ht="18" x14ac:dyDescent="0.55000000000000004">
      <c r="A104" s="10">
        <v>1401</v>
      </c>
      <c r="B104" s="10" t="s">
        <v>108</v>
      </c>
      <c r="C104" s="10">
        <v>3040210004</v>
      </c>
      <c r="D104" s="14" t="s">
        <v>132</v>
      </c>
      <c r="E104" s="11" t="s">
        <v>213</v>
      </c>
      <c r="F104" s="10" t="s">
        <v>4</v>
      </c>
      <c r="G104" s="10" t="s">
        <v>0</v>
      </c>
      <c r="H104" s="10" t="s">
        <v>6</v>
      </c>
      <c r="I104" s="10" t="s">
        <v>39</v>
      </c>
      <c r="J104" s="10" t="s">
        <v>190</v>
      </c>
      <c r="L104" s="39">
        <v>34.979999999999997</v>
      </c>
      <c r="M104" s="12">
        <v>21412215</v>
      </c>
      <c r="N104" s="38"/>
      <c r="O104" s="12">
        <v>0</v>
      </c>
      <c r="P104" s="38"/>
      <c r="Q104" s="12"/>
      <c r="R104" s="12"/>
      <c r="S104" s="12"/>
      <c r="T104" s="12">
        <v>135800569</v>
      </c>
      <c r="U104" s="12">
        <v>6057531</v>
      </c>
      <c r="V104" s="12">
        <v>18108225</v>
      </c>
      <c r="W104" s="12">
        <v>124917785</v>
      </c>
      <c r="X104" s="13"/>
    </row>
    <row r="105" spans="1:24" ht="18" x14ac:dyDescent="0.55000000000000004">
      <c r="A105" s="10">
        <v>1401</v>
      </c>
      <c r="B105" s="10" t="s">
        <v>108</v>
      </c>
      <c r="C105" s="10">
        <v>3040210005</v>
      </c>
      <c r="D105" s="14" t="s">
        <v>133</v>
      </c>
      <c r="E105" s="11" t="s">
        <v>213</v>
      </c>
      <c r="F105" s="10" t="s">
        <v>4</v>
      </c>
      <c r="G105" s="10" t="s">
        <v>0</v>
      </c>
      <c r="H105" s="10" t="s">
        <v>7</v>
      </c>
      <c r="I105" s="10" t="s">
        <v>46</v>
      </c>
      <c r="J105" s="10" t="s">
        <v>191</v>
      </c>
      <c r="L105" s="39">
        <v>8.9</v>
      </c>
      <c r="M105" s="12">
        <v>4021182</v>
      </c>
      <c r="N105" s="38"/>
      <c r="O105" s="12">
        <v>0</v>
      </c>
      <c r="P105" s="38"/>
      <c r="Q105" s="12"/>
      <c r="R105" s="12"/>
      <c r="S105" s="12"/>
      <c r="T105" s="12">
        <v>92387849</v>
      </c>
      <c r="U105" s="12">
        <v>1716260</v>
      </c>
      <c r="V105" s="12">
        <v>18108225</v>
      </c>
      <c r="W105" s="12">
        <v>85846336</v>
      </c>
      <c r="X105" s="13"/>
    </row>
    <row r="106" spans="1:24" ht="18" x14ac:dyDescent="0.55000000000000004">
      <c r="A106" s="10">
        <v>1401</v>
      </c>
      <c r="B106" s="10" t="s">
        <v>108</v>
      </c>
      <c r="C106" s="10">
        <v>5010100004</v>
      </c>
      <c r="D106" s="14" t="s">
        <v>134</v>
      </c>
      <c r="E106" s="11" t="s">
        <v>213</v>
      </c>
      <c r="F106" s="10" t="s">
        <v>4</v>
      </c>
      <c r="G106" s="10" t="s">
        <v>0</v>
      </c>
      <c r="H106" s="10" t="s">
        <v>5</v>
      </c>
      <c r="I106" s="10" t="s">
        <v>20</v>
      </c>
      <c r="J106" s="10" t="s">
        <v>189</v>
      </c>
      <c r="L106" s="39"/>
      <c r="M106" s="12">
        <v>0</v>
      </c>
      <c r="N106" s="38"/>
      <c r="O106" s="12">
        <v>0</v>
      </c>
      <c r="P106" s="38"/>
      <c r="Q106" s="12"/>
      <c r="R106" s="12"/>
      <c r="S106" s="12"/>
      <c r="T106" s="12">
        <v>174038514</v>
      </c>
      <c r="U106" s="12">
        <v>8696866</v>
      </c>
      <c r="V106" s="12">
        <v>50957629</v>
      </c>
      <c r="W106" s="12">
        <v>151651535</v>
      </c>
      <c r="X106" s="13"/>
    </row>
    <row r="107" spans="1:24" ht="18" x14ac:dyDescent="0.55000000000000004">
      <c r="A107" s="10">
        <v>1401</v>
      </c>
      <c r="B107" s="10" t="s">
        <v>101</v>
      </c>
      <c r="C107" s="10">
        <v>3040200007</v>
      </c>
      <c r="D107" s="14" t="s">
        <v>118</v>
      </c>
      <c r="E107" s="11" t="s">
        <v>213</v>
      </c>
      <c r="F107" s="10" t="s">
        <v>3</v>
      </c>
      <c r="G107" s="10" t="s">
        <v>0</v>
      </c>
      <c r="H107" s="10" t="s">
        <v>7</v>
      </c>
      <c r="I107" s="10" t="s">
        <v>75</v>
      </c>
      <c r="J107" s="10" t="s">
        <v>181</v>
      </c>
      <c r="L107" s="39">
        <v>11.48</v>
      </c>
      <c r="M107" s="12">
        <v>5919136</v>
      </c>
      <c r="N107" s="38"/>
      <c r="O107" s="12">
        <v>0</v>
      </c>
      <c r="P107" s="38"/>
      <c r="Q107" s="12"/>
      <c r="R107" s="12"/>
      <c r="S107" s="12"/>
      <c r="T107" s="12">
        <v>101919136</v>
      </c>
      <c r="U107" s="12">
        <v>2666107</v>
      </c>
      <c r="V107" s="12">
        <v>18248850</v>
      </c>
      <c r="W107" s="12">
        <v>94394964</v>
      </c>
      <c r="X107" s="13"/>
    </row>
    <row r="108" spans="1:24" ht="18" x14ac:dyDescent="0.55000000000000004">
      <c r="A108" s="10">
        <v>1401</v>
      </c>
      <c r="B108" s="10" t="s">
        <v>101</v>
      </c>
      <c r="C108" s="10">
        <v>3040200009</v>
      </c>
      <c r="D108" s="14" t="s">
        <v>119</v>
      </c>
      <c r="E108" s="11" t="s">
        <v>213</v>
      </c>
      <c r="F108" s="10" t="s">
        <v>3</v>
      </c>
      <c r="G108" s="10" t="s">
        <v>2</v>
      </c>
      <c r="H108" s="10" t="s">
        <v>9</v>
      </c>
      <c r="I108" s="10" t="s">
        <v>135</v>
      </c>
      <c r="J108" s="10" t="s">
        <v>176</v>
      </c>
      <c r="L108" s="39">
        <v>52.08</v>
      </c>
      <c r="M108" s="12">
        <v>18668827</v>
      </c>
      <c r="N108" s="38">
        <v>11.31</v>
      </c>
      <c r="O108" s="12">
        <v>2375101</v>
      </c>
      <c r="P108" s="38"/>
      <c r="Q108" s="12"/>
      <c r="R108" s="12"/>
      <c r="S108" s="12"/>
      <c r="T108" s="12">
        <v>100729944</v>
      </c>
      <c r="U108" s="12">
        <v>1676636</v>
      </c>
      <c r="V108" s="12">
        <v>19731771</v>
      </c>
      <c r="W108" s="12">
        <v>92049228</v>
      </c>
      <c r="X108" s="13"/>
    </row>
    <row r="109" spans="1:24" ht="18" x14ac:dyDescent="0.55000000000000004">
      <c r="A109" s="10">
        <v>1401</v>
      </c>
      <c r="B109" s="10" t="s">
        <v>101</v>
      </c>
      <c r="C109" s="10">
        <v>3040200012</v>
      </c>
      <c r="D109" s="14" t="s">
        <v>120</v>
      </c>
      <c r="E109" s="11" t="s">
        <v>213</v>
      </c>
      <c r="F109" s="10" t="s">
        <v>3</v>
      </c>
      <c r="G109" s="10" t="s">
        <v>1</v>
      </c>
      <c r="H109" s="10" t="s">
        <v>17</v>
      </c>
      <c r="I109" s="10" t="s">
        <v>78</v>
      </c>
      <c r="J109" s="10" t="s">
        <v>171</v>
      </c>
      <c r="L109" s="39">
        <v>30.63</v>
      </c>
      <c r="M109" s="12">
        <v>20849192</v>
      </c>
      <c r="N109" s="38"/>
      <c r="O109" s="12">
        <v>0</v>
      </c>
      <c r="P109" s="38"/>
      <c r="Q109" s="12"/>
      <c r="R109" s="12">
        <v>2</v>
      </c>
      <c r="S109" s="12">
        <v>7130144</v>
      </c>
      <c r="T109" s="12">
        <v>158291008</v>
      </c>
      <c r="U109" s="12">
        <v>6623416</v>
      </c>
      <c r="V109" s="12">
        <v>23859456</v>
      </c>
      <c r="W109" s="12">
        <v>146100386</v>
      </c>
      <c r="X109" s="13"/>
    </row>
    <row r="110" spans="1:24" ht="18" x14ac:dyDescent="0.55000000000000004">
      <c r="A110" s="10">
        <v>1401</v>
      </c>
      <c r="B110" s="10" t="s">
        <v>101</v>
      </c>
      <c r="C110" s="10">
        <v>3040200014</v>
      </c>
      <c r="D110" s="14" t="s">
        <v>121</v>
      </c>
      <c r="E110" s="11" t="s">
        <v>213</v>
      </c>
      <c r="F110" s="10" t="s">
        <v>3</v>
      </c>
      <c r="G110" s="10" t="s">
        <v>1</v>
      </c>
      <c r="H110" s="10" t="s">
        <v>10</v>
      </c>
      <c r="I110" s="10" t="s">
        <v>65</v>
      </c>
      <c r="J110" s="10" t="s">
        <v>166</v>
      </c>
      <c r="L110" s="39">
        <v>116.98</v>
      </c>
      <c r="M110" s="12">
        <v>37456512</v>
      </c>
      <c r="N110" s="38">
        <v>65.25</v>
      </c>
      <c r="O110" s="12">
        <v>8267679</v>
      </c>
      <c r="P110" s="38">
        <v>64</v>
      </c>
      <c r="Q110" s="12">
        <v>4696073</v>
      </c>
      <c r="R110" s="12"/>
      <c r="S110" s="12"/>
      <c r="T110" s="12">
        <v>124094824</v>
      </c>
      <c r="U110" s="12">
        <v>4047725</v>
      </c>
      <c r="V110" s="12">
        <v>18248850</v>
      </c>
      <c r="W110" s="12">
        <v>113389034</v>
      </c>
      <c r="X110" s="13"/>
    </row>
    <row r="111" spans="1:24" ht="18" x14ac:dyDescent="0.55000000000000004">
      <c r="A111" s="10">
        <v>1401</v>
      </c>
      <c r="B111" s="10" t="s">
        <v>101</v>
      </c>
      <c r="C111" s="10">
        <v>3040200015</v>
      </c>
      <c r="D111" s="14" t="s">
        <v>122</v>
      </c>
      <c r="E111" s="11" t="s">
        <v>213</v>
      </c>
      <c r="F111" s="10" t="s">
        <v>3</v>
      </c>
      <c r="G111" s="10" t="s">
        <v>2</v>
      </c>
      <c r="H111" s="10" t="s">
        <v>8</v>
      </c>
      <c r="I111" s="10" t="s">
        <v>57</v>
      </c>
      <c r="J111" s="10" t="s">
        <v>173</v>
      </c>
      <c r="L111" s="39">
        <v>10.199999999999999</v>
      </c>
      <c r="M111" s="12">
        <v>4715029</v>
      </c>
      <c r="N111" s="38"/>
      <c r="O111" s="12">
        <v>0</v>
      </c>
      <c r="P111" s="38"/>
      <c r="Q111" s="12"/>
      <c r="R111" s="12"/>
      <c r="S111" s="12"/>
      <c r="T111" s="12">
        <v>100715029</v>
      </c>
      <c r="U111" s="12">
        <v>1737970</v>
      </c>
      <c r="V111" s="12">
        <v>17039250</v>
      </c>
      <c r="W111" s="12">
        <v>95001234</v>
      </c>
      <c r="X111" s="13"/>
    </row>
    <row r="112" spans="1:24" ht="18" x14ac:dyDescent="0.55000000000000004">
      <c r="A112" s="10">
        <v>1401</v>
      </c>
      <c r="B112" s="10" t="s">
        <v>101</v>
      </c>
      <c r="C112" s="10">
        <v>3040200017</v>
      </c>
      <c r="D112" s="14" t="s">
        <v>123</v>
      </c>
      <c r="E112" s="11" t="s">
        <v>213</v>
      </c>
      <c r="F112" s="10" t="s">
        <v>3</v>
      </c>
      <c r="G112" s="10" t="s">
        <v>2</v>
      </c>
      <c r="H112" s="10" t="s">
        <v>9</v>
      </c>
      <c r="I112" s="10" t="s">
        <v>60</v>
      </c>
      <c r="J112" s="10" t="s">
        <v>177</v>
      </c>
      <c r="L112" s="39">
        <v>64.650000000000006</v>
      </c>
      <c r="M112" s="12">
        <v>29136095</v>
      </c>
      <c r="N112" s="38">
        <v>24.21</v>
      </c>
      <c r="O112" s="12">
        <v>6063716</v>
      </c>
      <c r="P112" s="38"/>
      <c r="Q112" s="12"/>
      <c r="R112" s="12"/>
      <c r="S112" s="12"/>
      <c r="T112" s="12">
        <v>125199811</v>
      </c>
      <c r="U112" s="12">
        <v>4589724</v>
      </c>
      <c r="V112" s="12">
        <v>17669250</v>
      </c>
      <c r="W112" s="12">
        <v>90887262</v>
      </c>
      <c r="X112" s="13"/>
    </row>
    <row r="113" spans="1:24" ht="18" x14ac:dyDescent="0.55000000000000004">
      <c r="A113" s="10">
        <v>1401</v>
      </c>
      <c r="B113" s="10" t="s">
        <v>101</v>
      </c>
      <c r="C113" s="10">
        <v>3040200019</v>
      </c>
      <c r="D113" s="14" t="s">
        <v>124</v>
      </c>
      <c r="E113" s="11" t="s">
        <v>213</v>
      </c>
      <c r="F113" s="10" t="s">
        <v>3</v>
      </c>
      <c r="G113" s="10" t="s">
        <v>2</v>
      </c>
      <c r="H113" s="10" t="s">
        <v>9</v>
      </c>
      <c r="I113" s="10" t="s">
        <v>58</v>
      </c>
      <c r="J113" s="10" t="s">
        <v>178</v>
      </c>
      <c r="L113" s="39">
        <v>52.38</v>
      </c>
      <c r="M113" s="12">
        <v>17078996</v>
      </c>
      <c r="N113" s="38">
        <v>11</v>
      </c>
      <c r="O113" s="12">
        <v>1024693</v>
      </c>
      <c r="P113" s="38"/>
      <c r="Q113" s="12"/>
      <c r="R113" s="12"/>
      <c r="S113" s="12"/>
      <c r="T113" s="12">
        <v>92697848</v>
      </c>
      <c r="U113" s="12">
        <v>908028</v>
      </c>
      <c r="V113" s="12">
        <v>18248850</v>
      </c>
      <c r="W113" s="12">
        <v>85131755</v>
      </c>
      <c r="X113" s="13"/>
    </row>
    <row r="114" spans="1:24" ht="18" x14ac:dyDescent="0.55000000000000004">
      <c r="A114" s="10">
        <v>1401</v>
      </c>
      <c r="B114" s="10" t="s">
        <v>101</v>
      </c>
      <c r="C114" s="10">
        <v>3040200020</v>
      </c>
      <c r="D114" s="14" t="s">
        <v>125</v>
      </c>
      <c r="E114" s="11" t="s">
        <v>213</v>
      </c>
      <c r="F114" s="10" t="s">
        <v>3</v>
      </c>
      <c r="G114" s="10" t="s">
        <v>2</v>
      </c>
      <c r="H114" s="10" t="s">
        <v>9</v>
      </c>
      <c r="I114" s="10" t="s">
        <v>62</v>
      </c>
      <c r="J114" s="10" t="s">
        <v>176</v>
      </c>
      <c r="L114" s="39">
        <v>63.13</v>
      </c>
      <c r="M114" s="12">
        <v>28123031</v>
      </c>
      <c r="N114" s="38">
        <v>13.88</v>
      </c>
      <c r="O114" s="12">
        <v>3283636</v>
      </c>
      <c r="P114" s="38">
        <v>0.26</v>
      </c>
      <c r="Q114" s="12">
        <v>24500</v>
      </c>
      <c r="R114" s="12"/>
      <c r="S114" s="12"/>
      <c r="T114" s="12">
        <v>126431167</v>
      </c>
      <c r="U114" s="12">
        <v>5117310</v>
      </c>
      <c r="V114" s="12">
        <v>18248850</v>
      </c>
      <c r="W114" s="12">
        <v>116455792</v>
      </c>
      <c r="X114" s="13"/>
    </row>
    <row r="115" spans="1:24" ht="18" x14ac:dyDescent="0.55000000000000004">
      <c r="A115" s="10">
        <v>1401</v>
      </c>
      <c r="B115" s="10" t="s">
        <v>101</v>
      </c>
      <c r="C115" s="10">
        <v>3040200024</v>
      </c>
      <c r="D115" s="14" t="s">
        <v>126</v>
      </c>
      <c r="E115" s="11" t="s">
        <v>213</v>
      </c>
      <c r="F115" s="10" t="s">
        <v>3</v>
      </c>
      <c r="G115" s="10" t="s">
        <v>1</v>
      </c>
      <c r="H115" s="10" t="s">
        <v>10</v>
      </c>
      <c r="I115" s="10" t="s">
        <v>64</v>
      </c>
      <c r="J115" s="10" t="s">
        <v>166</v>
      </c>
      <c r="L115" s="39">
        <v>140.36000000000001</v>
      </c>
      <c r="M115" s="12">
        <v>42122466</v>
      </c>
      <c r="N115" s="38">
        <v>100.08</v>
      </c>
      <c r="O115" s="12">
        <v>15686785</v>
      </c>
      <c r="P115" s="38">
        <v>141.66</v>
      </c>
      <c r="Q115" s="12">
        <v>9743385</v>
      </c>
      <c r="R115" s="12"/>
      <c r="S115" s="12"/>
      <c r="T115" s="12">
        <v>133889199</v>
      </c>
      <c r="U115" s="12">
        <v>5473362</v>
      </c>
      <c r="V115" s="12">
        <v>17039250</v>
      </c>
      <c r="W115" s="12">
        <v>122640012</v>
      </c>
      <c r="X115" s="13"/>
    </row>
    <row r="116" spans="1:24" ht="18" x14ac:dyDescent="0.55000000000000004">
      <c r="A116" s="10">
        <v>1401</v>
      </c>
      <c r="B116" s="10" t="s">
        <v>101</v>
      </c>
      <c r="C116" s="10">
        <v>3040200025</v>
      </c>
      <c r="D116" s="14" t="s">
        <v>127</v>
      </c>
      <c r="E116" s="11" t="s">
        <v>213</v>
      </c>
      <c r="F116" s="10" t="s">
        <v>3</v>
      </c>
      <c r="G116" s="10" t="s">
        <v>1</v>
      </c>
      <c r="H116" s="10" t="s">
        <v>12</v>
      </c>
      <c r="I116" s="10" t="s">
        <v>70</v>
      </c>
      <c r="J116" s="10" t="s">
        <v>167</v>
      </c>
      <c r="L116" s="39">
        <v>65.45</v>
      </c>
      <c r="M116" s="12">
        <v>21975235</v>
      </c>
      <c r="N116" s="38">
        <v>71.2</v>
      </c>
      <c r="O116" s="12">
        <v>13269560</v>
      </c>
      <c r="P116" s="38"/>
      <c r="Q116" s="12"/>
      <c r="R116" s="12"/>
      <c r="S116" s="12"/>
      <c r="T116" s="12">
        <v>103006464</v>
      </c>
      <c r="U116" s="12">
        <v>2803064</v>
      </c>
      <c r="V116" s="12">
        <v>17039250</v>
      </c>
      <c r="W116" s="12">
        <v>95627575</v>
      </c>
      <c r="X116" s="13"/>
    </row>
    <row r="117" spans="1:24" ht="18" x14ac:dyDescent="0.55000000000000004">
      <c r="A117" s="10">
        <v>1401</v>
      </c>
      <c r="B117" s="10" t="s">
        <v>101</v>
      </c>
      <c r="C117" s="10">
        <v>3040200060</v>
      </c>
      <c r="D117" s="14" t="s">
        <v>128</v>
      </c>
      <c r="E117" s="11" t="s">
        <v>213</v>
      </c>
      <c r="F117" s="10" t="s">
        <v>3</v>
      </c>
      <c r="G117" s="10" t="s">
        <v>1</v>
      </c>
      <c r="H117" s="10" t="s">
        <v>14</v>
      </c>
      <c r="I117" s="10" t="s">
        <v>73</v>
      </c>
      <c r="J117" s="10" t="s">
        <v>193</v>
      </c>
      <c r="L117" s="39">
        <v>40.21</v>
      </c>
      <c r="M117" s="12">
        <v>17233046</v>
      </c>
      <c r="N117" s="38">
        <v>4.76</v>
      </c>
      <c r="O117" s="12">
        <v>2042541</v>
      </c>
      <c r="P117" s="38"/>
      <c r="Q117" s="12"/>
      <c r="R117" s="12"/>
      <c r="S117" s="12"/>
      <c r="T117" s="12">
        <v>109971599</v>
      </c>
      <c r="U117" s="12">
        <v>2648928</v>
      </c>
      <c r="V117" s="12">
        <v>17669250</v>
      </c>
      <c r="W117" s="12">
        <v>50799846</v>
      </c>
      <c r="X117" s="13"/>
    </row>
    <row r="118" spans="1:24" ht="18" x14ac:dyDescent="0.55000000000000004">
      <c r="A118" s="10">
        <v>1401</v>
      </c>
      <c r="B118" s="10" t="s">
        <v>101</v>
      </c>
      <c r="C118" s="10">
        <v>3040200074</v>
      </c>
      <c r="D118" s="14" t="s">
        <v>129</v>
      </c>
      <c r="E118" s="11" t="s">
        <v>213</v>
      </c>
      <c r="F118" s="10" t="s">
        <v>3</v>
      </c>
      <c r="G118" s="10" t="s">
        <v>0</v>
      </c>
      <c r="H118" s="10" t="s">
        <v>11</v>
      </c>
      <c r="I118" s="10" t="s">
        <v>68</v>
      </c>
      <c r="J118" s="10" t="s">
        <v>169</v>
      </c>
      <c r="L118" s="39">
        <v>27</v>
      </c>
      <c r="M118" s="12">
        <v>11340000</v>
      </c>
      <c r="N118" s="38"/>
      <c r="O118" s="12">
        <v>0</v>
      </c>
      <c r="P118" s="38"/>
      <c r="Q118" s="12"/>
      <c r="R118" s="12"/>
      <c r="S118" s="12"/>
      <c r="T118" s="12">
        <v>92340000</v>
      </c>
      <c r="U118" s="12">
        <v>1736417</v>
      </c>
      <c r="V118" s="12">
        <v>17039250</v>
      </c>
      <c r="W118" s="12">
        <v>86027758</v>
      </c>
      <c r="X118" s="13"/>
    </row>
    <row r="119" spans="1:24" ht="18" x14ac:dyDescent="0.55000000000000004">
      <c r="A119" s="10">
        <v>1401</v>
      </c>
      <c r="B119" s="10" t="s">
        <v>101</v>
      </c>
      <c r="C119" s="10">
        <v>3040200075</v>
      </c>
      <c r="D119" s="14" t="s">
        <v>130</v>
      </c>
      <c r="E119" s="11" t="s">
        <v>213</v>
      </c>
      <c r="F119" s="10" t="s">
        <v>3</v>
      </c>
      <c r="G119" s="10" t="s">
        <v>1</v>
      </c>
      <c r="H119" s="10" t="s">
        <v>10</v>
      </c>
      <c r="I119" s="10" t="s">
        <v>64</v>
      </c>
      <c r="J119" s="10" t="s">
        <v>166</v>
      </c>
      <c r="L119" s="39">
        <v>144.36000000000001</v>
      </c>
      <c r="M119" s="12">
        <v>38399237</v>
      </c>
      <c r="N119" s="38">
        <v>91.73</v>
      </c>
      <c r="O119" s="12">
        <v>13633584</v>
      </c>
      <c r="P119" s="38">
        <v>195.66</v>
      </c>
      <c r="Q119" s="12">
        <v>11927613</v>
      </c>
      <c r="R119" s="12"/>
      <c r="S119" s="12"/>
      <c r="T119" s="12">
        <v>124937684</v>
      </c>
      <c r="U119" s="12">
        <v>4578211</v>
      </c>
      <c r="V119" s="12">
        <v>17039250</v>
      </c>
      <c r="W119" s="12">
        <v>114583648</v>
      </c>
      <c r="X119" s="13"/>
    </row>
    <row r="120" spans="1:24" ht="18" x14ac:dyDescent="0.55000000000000004">
      <c r="A120" s="10">
        <v>1401</v>
      </c>
      <c r="B120" s="10" t="s">
        <v>101</v>
      </c>
      <c r="C120" s="10">
        <v>3040200076</v>
      </c>
      <c r="D120" s="14" t="s">
        <v>131</v>
      </c>
      <c r="E120" s="11" t="s">
        <v>213</v>
      </c>
      <c r="F120" s="10" t="s">
        <v>3</v>
      </c>
      <c r="G120" s="10" t="s">
        <v>2</v>
      </c>
      <c r="H120" s="10" t="s">
        <v>9</v>
      </c>
      <c r="I120" s="10" t="s">
        <v>60</v>
      </c>
      <c r="J120" s="10" t="s">
        <v>177</v>
      </c>
      <c r="L120" s="39">
        <v>41.78</v>
      </c>
      <c r="M120" s="12">
        <v>19942045</v>
      </c>
      <c r="N120" s="38">
        <v>3.33</v>
      </c>
      <c r="O120" s="12">
        <v>454545</v>
      </c>
      <c r="P120" s="38"/>
      <c r="Q120" s="12"/>
      <c r="R120" s="12"/>
      <c r="S120" s="12"/>
      <c r="T120" s="12">
        <v>110396590</v>
      </c>
      <c r="U120" s="12">
        <v>3542077</v>
      </c>
      <c r="V120" s="12">
        <v>17039250</v>
      </c>
      <c r="W120" s="12">
        <v>101678688</v>
      </c>
      <c r="X120" s="13"/>
    </row>
    <row r="121" spans="1:24" ht="18" x14ac:dyDescent="0.55000000000000004">
      <c r="A121" s="10">
        <v>1401</v>
      </c>
      <c r="B121" s="10" t="s">
        <v>101</v>
      </c>
      <c r="C121" s="10">
        <v>3040210004</v>
      </c>
      <c r="D121" s="14" t="s">
        <v>132</v>
      </c>
      <c r="E121" s="11" t="s">
        <v>213</v>
      </c>
      <c r="F121" s="10" t="s">
        <v>4</v>
      </c>
      <c r="G121" s="10" t="s">
        <v>0</v>
      </c>
      <c r="H121" s="10" t="s">
        <v>6</v>
      </c>
      <c r="I121" s="10" t="s">
        <v>39</v>
      </c>
      <c r="J121" s="10" t="s">
        <v>190</v>
      </c>
      <c r="L121" s="39">
        <v>25.21</v>
      </c>
      <c r="M121" s="12">
        <v>15434341</v>
      </c>
      <c r="N121" s="38"/>
      <c r="O121" s="12"/>
      <c r="P121" s="38"/>
      <c r="Q121" s="12"/>
      <c r="R121" s="12"/>
      <c r="S121" s="12"/>
      <c r="T121" s="12">
        <v>126616619</v>
      </c>
      <c r="U121" s="12">
        <v>5149380</v>
      </c>
      <c r="V121" s="12">
        <v>17669250</v>
      </c>
      <c r="W121" s="12">
        <v>116744414</v>
      </c>
      <c r="X121" s="13"/>
    </row>
    <row r="122" spans="1:24" ht="18" x14ac:dyDescent="0.55000000000000004">
      <c r="A122" s="10">
        <v>1401</v>
      </c>
      <c r="B122" s="10" t="s">
        <v>101</v>
      </c>
      <c r="C122" s="10">
        <v>3040210005</v>
      </c>
      <c r="D122" s="14" t="s">
        <v>133</v>
      </c>
      <c r="E122" s="11" t="s">
        <v>213</v>
      </c>
      <c r="F122" s="10" t="s">
        <v>4</v>
      </c>
      <c r="G122" s="10" t="s">
        <v>0</v>
      </c>
      <c r="H122" s="10" t="s">
        <v>7</v>
      </c>
      <c r="I122" s="10" t="s">
        <v>46</v>
      </c>
      <c r="J122" s="10" t="s">
        <v>191</v>
      </c>
      <c r="L122" s="39">
        <v>14.9</v>
      </c>
      <c r="M122" s="12">
        <v>6732091</v>
      </c>
      <c r="N122" s="38"/>
      <c r="O122" s="12">
        <v>0</v>
      </c>
      <c r="P122" s="38"/>
      <c r="Q122" s="12"/>
      <c r="R122" s="12"/>
      <c r="S122" s="12"/>
      <c r="T122" s="12">
        <v>92732091</v>
      </c>
      <c r="U122" s="12">
        <v>1760926</v>
      </c>
      <c r="V122" s="12">
        <v>17669250</v>
      </c>
      <c r="W122" s="12">
        <v>86248340</v>
      </c>
      <c r="X122" s="13"/>
    </row>
    <row r="123" spans="1:24" ht="18" x14ac:dyDescent="0.55000000000000004">
      <c r="A123" s="10">
        <v>1401</v>
      </c>
      <c r="B123" s="10" t="s">
        <v>101</v>
      </c>
      <c r="C123" s="10">
        <v>5010100004</v>
      </c>
      <c r="D123" s="14" t="s">
        <v>134</v>
      </c>
      <c r="E123" s="11" t="s">
        <v>213</v>
      </c>
      <c r="F123" s="10" t="s">
        <v>4</v>
      </c>
      <c r="G123" s="10" t="s">
        <v>0</v>
      </c>
      <c r="H123" s="10" t="s">
        <v>5</v>
      </c>
      <c r="I123" s="10" t="s">
        <v>20</v>
      </c>
      <c r="J123" s="10" t="s">
        <v>189</v>
      </c>
      <c r="L123" s="39"/>
      <c r="M123" s="12">
        <v>0</v>
      </c>
      <c r="N123" s="38"/>
      <c r="O123" s="12">
        <v>0</v>
      </c>
      <c r="P123" s="38"/>
      <c r="Q123" s="12"/>
      <c r="R123" s="12"/>
      <c r="S123" s="12"/>
      <c r="T123" s="12">
        <v>169043070</v>
      </c>
      <c r="U123" s="12">
        <v>8232289</v>
      </c>
      <c r="V123" s="12">
        <v>49458996</v>
      </c>
      <c r="W123" s="12">
        <v>147470349</v>
      </c>
      <c r="X123" s="13"/>
    </row>
    <row r="124" spans="1:24" ht="18" x14ac:dyDescent="0.55000000000000004">
      <c r="A124" s="10">
        <v>1401</v>
      </c>
      <c r="B124" s="10" t="s">
        <v>102</v>
      </c>
      <c r="C124" s="11">
        <v>3040200007</v>
      </c>
      <c r="D124" s="11" t="s">
        <v>118</v>
      </c>
      <c r="E124" s="11" t="s">
        <v>213</v>
      </c>
      <c r="F124" s="10" t="s">
        <v>3</v>
      </c>
      <c r="G124" s="10" t="s">
        <v>0</v>
      </c>
      <c r="H124" s="10" t="s">
        <v>7</v>
      </c>
      <c r="I124" s="10" t="s">
        <v>75</v>
      </c>
      <c r="J124" s="10" t="s">
        <v>181</v>
      </c>
      <c r="L124" s="39">
        <v>2.06</v>
      </c>
      <c r="M124" s="12">
        <v>1065273</v>
      </c>
      <c r="N124" s="38">
        <v>0</v>
      </c>
      <c r="O124" s="12"/>
      <c r="P124" s="38"/>
      <c r="Q124" s="12"/>
      <c r="R124" s="12"/>
      <c r="S124" s="12"/>
      <c r="T124" s="12">
        <v>97065273</v>
      </c>
      <c r="U124" s="12">
        <v>2180720</v>
      </c>
      <c r="V124" s="12">
        <v>18248850</v>
      </c>
      <c r="W124" s="12">
        <v>90026488</v>
      </c>
      <c r="X124" s="13"/>
    </row>
    <row r="125" spans="1:24" ht="18" x14ac:dyDescent="0.55000000000000004">
      <c r="A125" s="10">
        <v>1401</v>
      </c>
      <c r="B125" s="10" t="s">
        <v>102</v>
      </c>
      <c r="C125" s="11">
        <v>3040200009</v>
      </c>
      <c r="D125" s="11" t="s">
        <v>119</v>
      </c>
      <c r="E125" s="11" t="s">
        <v>213</v>
      </c>
      <c r="F125" s="10" t="s">
        <v>3</v>
      </c>
      <c r="G125" s="10" t="s">
        <v>2</v>
      </c>
      <c r="H125" s="10" t="s">
        <v>9</v>
      </c>
      <c r="I125" s="10" t="s">
        <v>135</v>
      </c>
      <c r="J125" s="10" t="s">
        <v>176</v>
      </c>
      <c r="L125" s="39">
        <v>46.51</v>
      </c>
      <c r="M125" s="12">
        <v>16673502</v>
      </c>
      <c r="N125" s="38">
        <v>7.58</v>
      </c>
      <c r="O125" s="12">
        <v>776623</v>
      </c>
      <c r="P125" s="38"/>
      <c r="Q125" s="12"/>
      <c r="R125" s="12"/>
      <c r="S125" s="12"/>
      <c r="T125" s="12">
        <v>97136141</v>
      </c>
      <c r="U125" s="12">
        <v>1317256</v>
      </c>
      <c r="V125" s="12">
        <v>19731771</v>
      </c>
      <c r="W125" s="12">
        <v>88814805</v>
      </c>
      <c r="X125" s="13"/>
    </row>
    <row r="126" spans="1:24" ht="18" x14ac:dyDescent="0.55000000000000004">
      <c r="A126" s="10">
        <v>1401</v>
      </c>
      <c r="B126" s="10" t="s">
        <v>102</v>
      </c>
      <c r="C126" s="11">
        <v>3040200012</v>
      </c>
      <c r="D126" s="11" t="s">
        <v>120</v>
      </c>
      <c r="E126" s="11" t="s">
        <v>213</v>
      </c>
      <c r="F126" s="10" t="s">
        <v>3</v>
      </c>
      <c r="G126" s="10" t="s">
        <v>1</v>
      </c>
      <c r="H126" s="10" t="s">
        <v>17</v>
      </c>
      <c r="I126" s="10" t="s">
        <v>78</v>
      </c>
      <c r="J126" s="10" t="s">
        <v>171</v>
      </c>
      <c r="L126" s="39">
        <v>44.56</v>
      </c>
      <c r="M126" s="12">
        <v>30332285</v>
      </c>
      <c r="N126" s="38">
        <v>13</v>
      </c>
      <c r="O126" s="12">
        <v>2527960</v>
      </c>
      <c r="P126" s="38"/>
      <c r="Q126" s="12"/>
      <c r="R126" s="12">
        <v>2</v>
      </c>
      <c r="S126" s="12">
        <v>7130144</v>
      </c>
      <c r="T126" s="12">
        <v>170302061</v>
      </c>
      <c r="U126" s="12">
        <v>7824521</v>
      </c>
      <c r="V126" s="12">
        <v>23859456</v>
      </c>
      <c r="W126" s="12">
        <v>156910334</v>
      </c>
      <c r="X126" s="13"/>
    </row>
    <row r="127" spans="1:24" ht="18" x14ac:dyDescent="0.55000000000000004">
      <c r="A127" s="10">
        <v>1401</v>
      </c>
      <c r="B127" s="10" t="s">
        <v>102</v>
      </c>
      <c r="C127" s="11">
        <v>3040200014</v>
      </c>
      <c r="D127" s="11" t="s">
        <v>121</v>
      </c>
      <c r="E127" s="11" t="s">
        <v>213</v>
      </c>
      <c r="F127" s="10" t="s">
        <v>3</v>
      </c>
      <c r="G127" s="10" t="s">
        <v>1</v>
      </c>
      <c r="H127" s="10" t="s">
        <v>10</v>
      </c>
      <c r="I127" s="10" t="s">
        <v>65</v>
      </c>
      <c r="J127" s="10" t="s">
        <v>166</v>
      </c>
      <c r="L127" s="39">
        <v>143.01</v>
      </c>
      <c r="M127" s="12">
        <v>45792041</v>
      </c>
      <c r="N127" s="38">
        <v>33.1</v>
      </c>
      <c r="O127" s="12">
        <v>3028052</v>
      </c>
      <c r="P127" s="38">
        <v>150.5</v>
      </c>
      <c r="Q127" s="12">
        <v>11041642</v>
      </c>
      <c r="R127" s="12"/>
      <c r="S127" s="12"/>
      <c r="T127" s="12">
        <v>133536295</v>
      </c>
      <c r="U127" s="12">
        <v>4991873</v>
      </c>
      <c r="V127" s="12">
        <v>18248850</v>
      </c>
      <c r="W127" s="12">
        <v>121886357</v>
      </c>
      <c r="X127" s="13"/>
    </row>
    <row r="128" spans="1:24" ht="18" x14ac:dyDescent="0.55000000000000004">
      <c r="A128" s="10">
        <v>1401</v>
      </c>
      <c r="B128" s="10" t="s">
        <v>102</v>
      </c>
      <c r="C128" s="11">
        <v>3040200015</v>
      </c>
      <c r="D128" s="11" t="s">
        <v>122</v>
      </c>
      <c r="E128" s="11" t="s">
        <v>213</v>
      </c>
      <c r="F128" s="10" t="s">
        <v>3</v>
      </c>
      <c r="G128" s="10" t="s">
        <v>2</v>
      </c>
      <c r="H128" s="10" t="s">
        <v>8</v>
      </c>
      <c r="I128" s="10" t="s">
        <v>57</v>
      </c>
      <c r="J128" s="10" t="s">
        <v>173</v>
      </c>
      <c r="L128" s="39"/>
      <c r="M128" s="12">
        <v>0</v>
      </c>
      <c r="N128" s="38"/>
      <c r="O128" s="12"/>
      <c r="P128" s="38"/>
      <c r="Q128" s="12"/>
      <c r="R128" s="12"/>
      <c r="S128" s="12"/>
      <c r="T128" s="12">
        <v>41600000</v>
      </c>
      <c r="U128" s="12">
        <v>548803</v>
      </c>
      <c r="V128" s="12">
        <v>7383675</v>
      </c>
      <c r="W128" s="12">
        <v>39328339</v>
      </c>
      <c r="X128" s="13"/>
    </row>
    <row r="129" spans="1:24" ht="18" x14ac:dyDescent="0.55000000000000004">
      <c r="A129" s="10">
        <v>1401</v>
      </c>
      <c r="B129" s="10" t="s">
        <v>102</v>
      </c>
      <c r="C129" s="11">
        <v>3040200017</v>
      </c>
      <c r="D129" s="11" t="s">
        <v>123</v>
      </c>
      <c r="E129" s="11" t="s">
        <v>213</v>
      </c>
      <c r="F129" s="10" t="s">
        <v>3</v>
      </c>
      <c r="G129" s="10" t="s">
        <v>2</v>
      </c>
      <c r="H129" s="10" t="s">
        <v>9</v>
      </c>
      <c r="I129" s="10" t="s">
        <v>60</v>
      </c>
      <c r="J129" s="10" t="s">
        <v>177</v>
      </c>
      <c r="L129" s="39">
        <v>80.900000000000006</v>
      </c>
      <c r="M129" s="12">
        <v>36459552</v>
      </c>
      <c r="N129" s="38">
        <v>27.26</v>
      </c>
      <c r="O129" s="12">
        <v>3510968</v>
      </c>
      <c r="P129" s="38"/>
      <c r="Q129" s="12"/>
      <c r="R129" s="12"/>
      <c r="S129" s="12"/>
      <c r="T129" s="12">
        <v>129970520</v>
      </c>
      <c r="U129" s="12">
        <v>5066794</v>
      </c>
      <c r="V129" s="12">
        <v>17669250</v>
      </c>
      <c r="W129" s="12">
        <v>95180901</v>
      </c>
      <c r="X129" s="13"/>
    </row>
    <row r="130" spans="1:24" ht="18" x14ac:dyDescent="0.55000000000000004">
      <c r="A130" s="10">
        <v>1401</v>
      </c>
      <c r="B130" s="10" t="s">
        <v>102</v>
      </c>
      <c r="C130" s="11">
        <v>3040200019</v>
      </c>
      <c r="D130" s="11" t="s">
        <v>124</v>
      </c>
      <c r="E130" s="11" t="s">
        <v>213</v>
      </c>
      <c r="F130" s="10" t="s">
        <v>3</v>
      </c>
      <c r="G130" s="10" t="s">
        <v>2</v>
      </c>
      <c r="H130" s="10" t="s">
        <v>9</v>
      </c>
      <c r="I130" s="10" t="s">
        <v>58</v>
      </c>
      <c r="J130" s="10" t="s">
        <v>178</v>
      </c>
      <c r="L130" s="39">
        <v>46.37</v>
      </c>
      <c r="M130" s="12">
        <v>15198839</v>
      </c>
      <c r="N130" s="38">
        <v>4.38</v>
      </c>
      <c r="O130" s="12">
        <v>408325</v>
      </c>
      <c r="P130" s="38"/>
      <c r="Q130" s="12"/>
      <c r="R130" s="12"/>
      <c r="S130" s="12"/>
      <c r="T130" s="12">
        <v>90201323</v>
      </c>
      <c r="U130" s="12">
        <v>658376</v>
      </c>
      <c r="V130" s="12">
        <v>18248850</v>
      </c>
      <c r="W130" s="12">
        <v>82884882</v>
      </c>
      <c r="X130" s="13"/>
    </row>
    <row r="131" spans="1:24" ht="18" x14ac:dyDescent="0.55000000000000004">
      <c r="A131" s="10">
        <v>1401</v>
      </c>
      <c r="B131" s="10" t="s">
        <v>102</v>
      </c>
      <c r="C131" s="11">
        <v>3040200020</v>
      </c>
      <c r="D131" s="11" t="s">
        <v>125</v>
      </c>
      <c r="E131" s="11" t="s">
        <v>213</v>
      </c>
      <c r="F131" s="10" t="s">
        <v>3</v>
      </c>
      <c r="G131" s="10" t="s">
        <v>2</v>
      </c>
      <c r="H131" s="10" t="s">
        <v>9</v>
      </c>
      <c r="I131" s="10" t="s">
        <v>62</v>
      </c>
      <c r="J131" s="10" t="s">
        <v>176</v>
      </c>
      <c r="L131" s="39">
        <v>48.01</v>
      </c>
      <c r="M131" s="12">
        <v>21389243</v>
      </c>
      <c r="N131" s="38">
        <v>8.6999999999999993</v>
      </c>
      <c r="O131" s="12">
        <v>1107273</v>
      </c>
      <c r="P131" s="38"/>
      <c r="Q131" s="12"/>
      <c r="R131" s="12"/>
      <c r="S131" s="12"/>
      <c r="T131" s="12">
        <v>117496516</v>
      </c>
      <c r="U131" s="12">
        <v>4223845</v>
      </c>
      <c r="V131" s="12">
        <v>18248850</v>
      </c>
      <c r="W131" s="12">
        <v>108414606</v>
      </c>
      <c r="X131" s="13"/>
    </row>
    <row r="132" spans="1:24" ht="18" x14ac:dyDescent="0.55000000000000004">
      <c r="A132" s="10">
        <v>1401</v>
      </c>
      <c r="B132" s="10" t="s">
        <v>102</v>
      </c>
      <c r="C132" s="11">
        <v>3040200024</v>
      </c>
      <c r="D132" s="11" t="s">
        <v>126</v>
      </c>
      <c r="E132" s="11" t="s">
        <v>213</v>
      </c>
      <c r="F132" s="10" t="s">
        <v>3</v>
      </c>
      <c r="G132" s="10" t="s">
        <v>1</v>
      </c>
      <c r="H132" s="10" t="s">
        <v>10</v>
      </c>
      <c r="I132" s="10" t="s">
        <v>64</v>
      </c>
      <c r="J132" s="10" t="s">
        <v>166</v>
      </c>
      <c r="L132" s="39">
        <v>134.29</v>
      </c>
      <c r="M132" s="12">
        <v>40356944</v>
      </c>
      <c r="N132" s="38">
        <v>37.06</v>
      </c>
      <c r="O132" s="12">
        <v>3178083</v>
      </c>
      <c r="P132" s="38">
        <v>124.6</v>
      </c>
      <c r="Q132" s="12">
        <v>8571538</v>
      </c>
      <c r="R132" s="12"/>
      <c r="S132" s="12"/>
      <c r="T132" s="12">
        <v>118443128</v>
      </c>
      <c r="U132" s="12">
        <v>3928756</v>
      </c>
      <c r="V132" s="12">
        <v>17039250</v>
      </c>
      <c r="W132" s="12">
        <v>108738547</v>
      </c>
      <c r="X132" s="13"/>
    </row>
    <row r="133" spans="1:24" ht="18" x14ac:dyDescent="0.55000000000000004">
      <c r="A133" s="10">
        <v>1401</v>
      </c>
      <c r="B133" s="10" t="s">
        <v>102</v>
      </c>
      <c r="C133" s="11">
        <v>3040200025</v>
      </c>
      <c r="D133" s="11" t="s">
        <v>127</v>
      </c>
      <c r="E133" s="11" t="s">
        <v>213</v>
      </c>
      <c r="F133" s="10" t="s">
        <v>3</v>
      </c>
      <c r="G133" s="10" t="s">
        <v>1</v>
      </c>
      <c r="H133" s="10" t="s">
        <v>12</v>
      </c>
      <c r="I133" s="10" t="s">
        <v>70</v>
      </c>
      <c r="J133" s="10" t="s">
        <v>167</v>
      </c>
      <c r="L133" s="39">
        <v>59.48</v>
      </c>
      <c r="M133" s="12">
        <v>20078213</v>
      </c>
      <c r="N133" s="38">
        <v>39.5</v>
      </c>
      <c r="O133" s="12">
        <v>3789247</v>
      </c>
      <c r="P133" s="38"/>
      <c r="Q133" s="12"/>
      <c r="R133" s="12"/>
      <c r="S133" s="12"/>
      <c r="T133" s="12">
        <v>91629129</v>
      </c>
      <c r="U133" s="12">
        <v>1665330</v>
      </c>
      <c r="V133" s="12">
        <v>17039250</v>
      </c>
      <c r="W133" s="12">
        <v>85387974</v>
      </c>
      <c r="X133" s="13"/>
    </row>
    <row r="134" spans="1:24" ht="18" x14ac:dyDescent="0.55000000000000004">
      <c r="A134" s="10">
        <v>1401</v>
      </c>
      <c r="B134" s="10" t="s">
        <v>102</v>
      </c>
      <c r="C134" s="11">
        <v>3040200060</v>
      </c>
      <c r="D134" s="11" t="s">
        <v>128</v>
      </c>
      <c r="E134" s="11" t="s">
        <v>213</v>
      </c>
      <c r="F134" s="10" t="s">
        <v>3</v>
      </c>
      <c r="G134" s="10" t="s">
        <v>1</v>
      </c>
      <c r="H134" s="10" t="s">
        <v>14</v>
      </c>
      <c r="I134" s="10" t="s">
        <v>73</v>
      </c>
      <c r="J134" s="10" t="s">
        <v>193</v>
      </c>
      <c r="L134" s="39">
        <v>33.630000000000003</v>
      </c>
      <c r="M134" s="12">
        <v>14412054</v>
      </c>
      <c r="N134" s="38"/>
      <c r="O134" s="12"/>
      <c r="P134" s="38"/>
      <c r="Q134" s="12"/>
      <c r="R134" s="12"/>
      <c r="S134" s="12"/>
      <c r="T134" s="12">
        <v>105108066</v>
      </c>
      <c r="U134" s="12">
        <v>2162574</v>
      </c>
      <c r="V134" s="12">
        <v>17669250</v>
      </c>
      <c r="W134" s="12">
        <v>46422667</v>
      </c>
      <c r="X134" s="13"/>
    </row>
    <row r="135" spans="1:24" ht="18" x14ac:dyDescent="0.55000000000000004">
      <c r="A135" s="10">
        <v>1401</v>
      </c>
      <c r="B135" s="10" t="s">
        <v>102</v>
      </c>
      <c r="C135" s="11">
        <v>3040200074</v>
      </c>
      <c r="D135" s="11" t="s">
        <v>129</v>
      </c>
      <c r="E135" s="11" t="s">
        <v>213</v>
      </c>
      <c r="F135" s="10" t="s">
        <v>3</v>
      </c>
      <c r="G135" s="10" t="s">
        <v>0</v>
      </c>
      <c r="H135" s="10" t="s">
        <v>11</v>
      </c>
      <c r="I135" s="10" t="s">
        <v>68</v>
      </c>
      <c r="J135" s="10" t="s">
        <v>169</v>
      </c>
      <c r="L135" s="39">
        <v>28.36</v>
      </c>
      <c r="M135" s="12">
        <v>11914000</v>
      </c>
      <c r="N135" s="38"/>
      <c r="O135" s="12"/>
      <c r="P135" s="38"/>
      <c r="Q135" s="12"/>
      <c r="R135" s="12"/>
      <c r="S135" s="12"/>
      <c r="T135" s="12">
        <v>92914000</v>
      </c>
      <c r="U135" s="12">
        <v>1793818</v>
      </c>
      <c r="V135" s="12">
        <v>17039250</v>
      </c>
      <c r="W135" s="12">
        <v>86544357</v>
      </c>
      <c r="X135" s="13"/>
    </row>
    <row r="136" spans="1:24" ht="18" x14ac:dyDescent="0.55000000000000004">
      <c r="A136" s="10">
        <v>1401</v>
      </c>
      <c r="B136" s="10" t="s">
        <v>102</v>
      </c>
      <c r="C136" s="11">
        <v>3040200075</v>
      </c>
      <c r="D136" s="11" t="s">
        <v>130</v>
      </c>
      <c r="E136" s="11" t="s">
        <v>213</v>
      </c>
      <c r="F136" s="10" t="s">
        <v>3</v>
      </c>
      <c r="G136" s="10" t="s">
        <v>1</v>
      </c>
      <c r="H136" s="10" t="s">
        <v>10</v>
      </c>
      <c r="I136" s="10" t="s">
        <v>64</v>
      </c>
      <c r="J136" s="10" t="s">
        <v>166</v>
      </c>
      <c r="L136" s="39">
        <v>119.35</v>
      </c>
      <c r="M136" s="12">
        <v>31745201</v>
      </c>
      <c r="N136" s="38">
        <v>31.83</v>
      </c>
      <c r="O136" s="12">
        <v>2419189</v>
      </c>
      <c r="P136" s="38">
        <v>114.21</v>
      </c>
      <c r="Q136" s="12">
        <v>6963463</v>
      </c>
      <c r="R136" s="12"/>
      <c r="S136" s="12"/>
      <c r="T136" s="12">
        <v>102105103</v>
      </c>
      <c r="U136" s="12">
        <v>2294953</v>
      </c>
      <c r="V136" s="12">
        <v>17039250</v>
      </c>
      <c r="W136" s="12">
        <v>94034325</v>
      </c>
      <c r="X136" s="13"/>
    </row>
    <row r="137" spans="1:24" ht="18" x14ac:dyDescent="0.55000000000000004">
      <c r="A137" s="10">
        <v>1401</v>
      </c>
      <c r="B137" s="10" t="s">
        <v>102</v>
      </c>
      <c r="C137" s="11">
        <v>3040200076</v>
      </c>
      <c r="D137" s="11" t="s">
        <v>131</v>
      </c>
      <c r="E137" s="11" t="s">
        <v>213</v>
      </c>
      <c r="F137" s="10" t="s">
        <v>3</v>
      </c>
      <c r="G137" s="10" t="s">
        <v>2</v>
      </c>
      <c r="H137" s="10" t="s">
        <v>9</v>
      </c>
      <c r="I137" s="10" t="s">
        <v>60</v>
      </c>
      <c r="J137" s="10" t="s">
        <v>177</v>
      </c>
      <c r="L137" s="39">
        <v>28.33</v>
      </c>
      <c r="M137" s="12">
        <v>13522727</v>
      </c>
      <c r="N137" s="38">
        <v>4.03</v>
      </c>
      <c r="O137" s="12">
        <v>550000</v>
      </c>
      <c r="P137" s="38"/>
      <c r="Q137" s="12"/>
      <c r="R137" s="12"/>
      <c r="S137" s="12"/>
      <c r="T137" s="12">
        <v>104072727</v>
      </c>
      <c r="U137" s="12">
        <v>2909690</v>
      </c>
      <c r="V137" s="12">
        <v>17039250</v>
      </c>
      <c r="W137" s="12">
        <v>95987212</v>
      </c>
      <c r="X137" s="13"/>
    </row>
    <row r="138" spans="1:24" ht="18" x14ac:dyDescent="0.55000000000000004">
      <c r="A138" s="10">
        <v>1401</v>
      </c>
      <c r="B138" s="10" t="s">
        <v>102</v>
      </c>
      <c r="C138" s="11">
        <v>3040210004</v>
      </c>
      <c r="D138" s="11" t="s">
        <v>132</v>
      </c>
      <c r="E138" s="11" t="s">
        <v>213</v>
      </c>
      <c r="F138" s="10" t="s">
        <v>4</v>
      </c>
      <c r="G138" s="10" t="s">
        <v>0</v>
      </c>
      <c r="H138" s="10" t="s">
        <v>6</v>
      </c>
      <c r="I138" s="10" t="s">
        <v>39</v>
      </c>
      <c r="J138" s="10" t="s">
        <v>190</v>
      </c>
      <c r="K138" s="41">
        <v>176.66</v>
      </c>
      <c r="L138" s="39">
        <v>35</v>
      </c>
      <c r="M138" s="12">
        <v>21422416</v>
      </c>
      <c r="N138" s="38"/>
      <c r="O138" s="12"/>
      <c r="P138" s="38"/>
      <c r="Q138" s="12"/>
      <c r="R138" s="12"/>
      <c r="S138" s="12"/>
      <c r="T138" s="12">
        <v>132604694</v>
      </c>
      <c r="U138" s="12">
        <v>5748187</v>
      </c>
      <c r="V138" s="12">
        <v>17669250</v>
      </c>
      <c r="W138" s="12">
        <v>122133682</v>
      </c>
      <c r="X138" s="13"/>
    </row>
    <row r="139" spans="1:24" ht="18" x14ac:dyDescent="0.55000000000000004">
      <c r="A139" s="10">
        <v>1401</v>
      </c>
      <c r="B139" s="10" t="s">
        <v>102</v>
      </c>
      <c r="C139" s="11">
        <v>3040210005</v>
      </c>
      <c r="D139" s="11" t="s">
        <v>133</v>
      </c>
      <c r="E139" s="11" t="s">
        <v>213</v>
      </c>
      <c r="F139" s="10" t="s">
        <v>4</v>
      </c>
      <c r="G139" s="10" t="s">
        <v>0</v>
      </c>
      <c r="H139" s="10" t="s">
        <v>7</v>
      </c>
      <c r="I139" s="10" t="s">
        <v>46</v>
      </c>
      <c r="J139" s="10" t="s">
        <v>191</v>
      </c>
      <c r="K139" s="10">
        <v>187.58</v>
      </c>
      <c r="L139" s="39">
        <v>23.63</v>
      </c>
      <c r="M139" s="12">
        <v>10677970</v>
      </c>
      <c r="N139" s="38"/>
      <c r="O139" s="12"/>
      <c r="P139" s="38"/>
      <c r="Q139" s="12"/>
      <c r="R139" s="12"/>
      <c r="S139" s="12"/>
      <c r="T139" s="12">
        <v>96677970</v>
      </c>
      <c r="U139" s="12">
        <v>2155515</v>
      </c>
      <c r="V139" s="12">
        <v>17669250</v>
      </c>
      <c r="W139" s="12">
        <v>89799630</v>
      </c>
      <c r="X139" s="13"/>
    </row>
    <row r="140" spans="1:24" ht="18" x14ac:dyDescent="0.55000000000000004">
      <c r="A140" s="10">
        <v>1401</v>
      </c>
      <c r="B140" s="10" t="s">
        <v>102</v>
      </c>
      <c r="C140" s="11">
        <v>5010100004</v>
      </c>
      <c r="D140" s="11" t="s">
        <v>134</v>
      </c>
      <c r="E140" s="11" t="s">
        <v>213</v>
      </c>
      <c r="F140" s="10" t="s">
        <v>4</v>
      </c>
      <c r="G140" s="10" t="s">
        <v>0</v>
      </c>
      <c r="H140" s="10" t="s">
        <v>5</v>
      </c>
      <c r="I140" s="10" t="s">
        <v>20</v>
      </c>
      <c r="J140" s="10" t="s">
        <v>189</v>
      </c>
      <c r="L140" s="39"/>
      <c r="M140" s="12">
        <v>0</v>
      </c>
      <c r="N140" s="38"/>
      <c r="O140" s="12"/>
      <c r="P140" s="38"/>
      <c r="Q140" s="12"/>
      <c r="R140" s="12"/>
      <c r="S140" s="12"/>
      <c r="T140" s="12">
        <v>169043070</v>
      </c>
      <c r="U140" s="12">
        <v>8232288</v>
      </c>
      <c r="V140" s="12">
        <v>49458996</v>
      </c>
      <c r="W140" s="12">
        <v>147470350</v>
      </c>
      <c r="X140" s="13"/>
    </row>
    <row r="141" spans="1:24" ht="18" x14ac:dyDescent="0.55000000000000004">
      <c r="A141" s="10">
        <v>1401</v>
      </c>
      <c r="B141" s="10" t="s">
        <v>102</v>
      </c>
      <c r="C141" s="10">
        <v>304</v>
      </c>
      <c r="D141" s="14" t="s">
        <v>198</v>
      </c>
      <c r="E141" s="14"/>
      <c r="F141" s="10" t="s">
        <v>3</v>
      </c>
      <c r="G141" s="10" t="s">
        <v>1</v>
      </c>
      <c r="H141" s="10" t="s">
        <v>17</v>
      </c>
      <c r="I141" s="10" t="s">
        <v>77</v>
      </c>
      <c r="J141" s="10" t="s">
        <v>175</v>
      </c>
      <c r="L141" s="39"/>
      <c r="M141" s="12"/>
      <c r="N141" s="38"/>
      <c r="O141" s="12"/>
      <c r="P141" s="38"/>
      <c r="Q141" s="12"/>
      <c r="R141" s="12"/>
      <c r="S141" s="12"/>
      <c r="T141" s="12">
        <v>100000000</v>
      </c>
      <c r="U141" s="12"/>
      <c r="V141" s="12"/>
      <c r="W141" s="12">
        <v>100000000</v>
      </c>
      <c r="X141" s="13"/>
    </row>
    <row r="142" spans="1:24" ht="18" x14ac:dyDescent="0.55000000000000004">
      <c r="A142" s="15" t="s">
        <v>136</v>
      </c>
      <c r="B142" s="15"/>
      <c r="C142" s="15">
        <f>SUBTOTAL(103,Table1[کد پرسنلی])</f>
        <v>140</v>
      </c>
      <c r="D142" s="16"/>
      <c r="E142" s="16"/>
      <c r="F142" s="15"/>
      <c r="G142" s="15"/>
      <c r="H142" s="15"/>
      <c r="I142" s="15"/>
      <c r="J142" s="15"/>
      <c r="K142" s="15">
        <f>SUBTOTAL(109,Table1[کارکرد
(ساعت)])</f>
        <v>364.24</v>
      </c>
      <c r="L142" s="15">
        <f>SUBTOTAL(109,Table1[اضافه کاری
(ساعت)])</f>
        <v>7654.4900000000007</v>
      </c>
      <c r="M142" s="17">
        <f>SUBTOTAL(109,Table1[مبلغ
اضافه کاری])</f>
        <v>3045671186</v>
      </c>
      <c r="N142" s="40">
        <f>SUBTOTAL(109,Table1[جمعه کاری + تعطیل کاری
(ساعت)])</f>
        <v>2644.38</v>
      </c>
      <c r="O142" s="17">
        <f>SUBTOTAL(109,Table1[مبلغ
جمعه کاری + تعطیل کاری])</f>
        <v>465536117</v>
      </c>
      <c r="P142" s="40">
        <f>SUBTOTAL(109,Table1[شب کاری
(ساعت)])</f>
        <v>2818.2400000000002</v>
      </c>
      <c r="Q142" s="17">
        <f>SUBTOTAL(109,Table1[مبلغ
شب کاری])</f>
        <v>191313245</v>
      </c>
      <c r="R142" s="17">
        <f>SUBTOTAL(109,Table1[ماموریت
(روزانه)])</f>
        <v>22</v>
      </c>
      <c r="S142" s="17">
        <f>SUBTOTAL(109,Table1[مبلغ
حق ماموریت])</f>
        <v>99860019</v>
      </c>
      <c r="T142" s="17">
        <f>SUBTOTAL(109,Table1[جمع
حقوق و مزایا])</f>
        <v>16794078507</v>
      </c>
      <c r="U142" s="17">
        <f>SUBTOTAL(109,Table1[مالیات])</f>
        <v>555327177</v>
      </c>
      <c r="V142" s="17">
        <f>SUBTOTAL(109,Table1[بیمه])</f>
        <v>2823609679</v>
      </c>
      <c r="W142" s="17">
        <f>SUBTOTAL(109,Table1[حقوق پرداختنی
(خالص)])</f>
        <v>15327909034</v>
      </c>
      <c r="X142" s="13"/>
    </row>
  </sheetData>
  <phoneticPr fontId="14" type="noConversion"/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200-000000000000}">
          <x14:formula1>
            <xm:f>listbox!$C$2:$C$13</xm:f>
          </x14:formula1>
          <xm:sqref>A143:B1048576 B2:B141</xm:sqref>
        </x14:dataValidation>
        <x14:dataValidation type="list" allowBlank="1" showInputMessage="1" showErrorMessage="1" xr:uid="{00000000-0002-0000-0200-000001000000}">
          <x14:formula1>
            <xm:f>listbox!$F$2:$F$3</xm:f>
          </x14:formula1>
          <xm:sqref>G143:G1048576 F2:F141</xm:sqref>
        </x14:dataValidation>
        <x14:dataValidation type="list" allowBlank="1" showInputMessage="1" showErrorMessage="1" xr:uid="{00000000-0002-0000-0200-000002000000}">
          <x14:formula1>
            <xm:f>listbox!$H$2:$H$16</xm:f>
          </x14:formula1>
          <xm:sqref>I143:I1048576 H2:H141</xm:sqref>
        </x14:dataValidation>
        <x14:dataValidation type="list" allowBlank="1" showInputMessage="1" showErrorMessage="1" xr:uid="{00000000-0002-0000-0200-000003000000}">
          <x14:formula1>
            <xm:f>listbox!$I$2:$I$75</xm:f>
          </x14:formula1>
          <xm:sqref>J143:J1048576 I2:I141</xm:sqref>
        </x14:dataValidation>
        <x14:dataValidation type="list" allowBlank="1" showInputMessage="1" showErrorMessage="1" xr:uid="{00000000-0002-0000-0200-000004000000}">
          <x14:formula1>
            <xm:f>listbox!$J$2:$J$32</xm:f>
          </x14:formula1>
          <xm:sqref>K143:L1048576 J2:J141 K141</xm:sqref>
        </x14:dataValidation>
        <x14:dataValidation type="list" allowBlank="1" showInputMessage="1" showErrorMessage="1" xr:uid="{00000000-0002-0000-0200-000005000000}">
          <x14:formula1>
            <xm:f>listbox!$G$2:$G$4</xm:f>
          </x14:formula1>
          <xm:sqref>H143:H1048576 G1:G141</xm:sqref>
        </x14:dataValidation>
        <x14:dataValidation type="list" allowBlank="1" showInputMessage="1" showErrorMessage="1" xr:uid="{932817DF-7AAB-468A-A447-0023E86DC828}">
          <x14:formula1>
            <xm:f>listbox!$E$2:$E$4</xm:f>
          </x14:formula1>
          <xm:sqref>E2:E141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1:Q256"/>
  <sheetViews>
    <sheetView rightToLeft="1" zoomScale="70" zoomScaleNormal="70" workbookViewId="0">
      <selection activeCell="Q181" sqref="Q181"/>
    </sheetView>
  </sheetViews>
  <sheetFormatPr defaultRowHeight="22.5" x14ac:dyDescent="0.55000000000000004"/>
  <cols>
    <col min="1" max="1" width="3.33203125" style="1" customWidth="1"/>
    <col min="2" max="2" width="3" style="1" customWidth="1"/>
    <col min="3" max="3" width="24.88671875" style="1" customWidth="1"/>
    <col min="4" max="4" width="15.6640625" style="1" customWidth="1"/>
    <col min="5" max="5" width="15.5546875" style="1" bestFit="1" customWidth="1"/>
    <col min="6" max="6" width="13.21875" style="1" customWidth="1"/>
    <col min="7" max="7" width="17.88671875" style="1" customWidth="1"/>
    <col min="8" max="9" width="3" style="1" customWidth="1"/>
    <col min="10" max="10" width="21.88671875" style="1" bestFit="1" customWidth="1"/>
    <col min="11" max="11" width="16.6640625" style="1" bestFit="1" customWidth="1"/>
    <col min="12" max="12" width="13.21875" style="1" customWidth="1"/>
    <col min="13" max="13" width="17.77734375" style="1" customWidth="1"/>
    <col min="14" max="14" width="9.5546875" style="1" customWidth="1"/>
    <col min="15" max="15" width="10.109375" style="1" customWidth="1"/>
    <col min="16" max="16" width="9.44140625" style="1" bestFit="1" customWidth="1"/>
    <col min="17" max="17" width="5.6640625" style="1" customWidth="1"/>
    <col min="18" max="16384" width="8.88671875" style="1"/>
  </cols>
  <sheetData>
    <row r="1" spans="2:17" ht="23.25" thickBot="1" x14ac:dyDescent="0.6">
      <c r="C1" s="67" t="s">
        <v>137</v>
      </c>
    </row>
    <row r="2" spans="2:17" x14ac:dyDescent="0.55000000000000004">
      <c r="B2" s="26"/>
      <c r="C2" s="67"/>
      <c r="D2" s="27"/>
      <c r="E2" s="27"/>
      <c r="F2" s="27"/>
      <c r="G2" s="27"/>
      <c r="H2" s="28"/>
      <c r="Q2" s="22" t="str">
        <f ca="1">IFERROR(OFFSET(#REF!,SMALL(#REF!,ROW(B1))-1,0),"")</f>
        <v/>
      </c>
    </row>
    <row r="3" spans="2:17" ht="26.25" x14ac:dyDescent="0.55000000000000004">
      <c r="B3" s="29"/>
      <c r="C3" s="66" t="s">
        <v>3</v>
      </c>
      <c r="D3" s="66"/>
      <c r="E3" s="66"/>
      <c r="F3" s="66"/>
      <c r="G3" s="66"/>
      <c r="H3" s="30"/>
      <c r="Q3" s="22" t="str">
        <f ca="1">IFERROR(OFFSET(#REF!,SMALL(#REF!,ROW(B2))-1,0),"")</f>
        <v/>
      </c>
    </row>
    <row r="4" spans="2:17" ht="24" x14ac:dyDescent="0.55000000000000004">
      <c r="B4" s="29"/>
      <c r="C4" s="8" t="s">
        <v>96</v>
      </c>
      <c r="D4" s="8" t="s">
        <v>113</v>
      </c>
      <c r="E4" s="8" t="s">
        <v>114</v>
      </c>
      <c r="F4" s="8" t="s">
        <v>115</v>
      </c>
      <c r="G4" s="8" t="s">
        <v>116</v>
      </c>
      <c r="H4" s="30"/>
      <c r="J4" s="1" t="s">
        <v>96</v>
      </c>
      <c r="K4" s="1" t="s">
        <v>138</v>
      </c>
      <c r="L4" s="1" t="s">
        <v>139</v>
      </c>
      <c r="M4" s="1" t="s">
        <v>140</v>
      </c>
      <c r="N4" s="1" t="s">
        <v>141</v>
      </c>
      <c r="O4" s="1" t="s">
        <v>142</v>
      </c>
      <c r="Q4" s="22" t="str">
        <f ca="1">IFERROR(OFFSET(#REF!,SMALL(#REF!,ROW(B3))-1,0),"")</f>
        <v/>
      </c>
    </row>
    <row r="5" spans="2:17" x14ac:dyDescent="0.55000000000000004">
      <c r="B5" s="29"/>
      <c r="C5" s="44" t="s">
        <v>166</v>
      </c>
      <c r="D5" s="31">
        <f>COUNTIFS(database!$F:$F,$C$3,database!$J:$J,calc!C5,database!$B:$B,listbox!$D$3,database!$A:$A,listbox!$B$3)</f>
        <v>3</v>
      </c>
      <c r="E5" s="32">
        <f>D5/$D$23</f>
        <v>0.21428571428571427</v>
      </c>
      <c r="F5" s="33">
        <f>SUMIFS(database!$W:$W,database!$F:$F,calc!$C$3,database!$J:$J,calc!C5,database!$B:$B,listbox!$D$3,database!$A:$A,listbox!$B$3)</f>
        <v>352027163</v>
      </c>
      <c r="G5" s="32">
        <f t="shared" ref="G5:G22" si="0">F5/$F$23</f>
        <v>0.24868692011316509</v>
      </c>
      <c r="H5" s="30"/>
      <c r="I5" s="31"/>
      <c r="J5" s="45" t="str">
        <f t="shared" ref="J5:J22" si="1">C5</f>
        <v>حراست (کارخانه)</v>
      </c>
      <c r="K5" s="24">
        <v>0.05</v>
      </c>
      <c r="L5" s="24">
        <v>0.2</v>
      </c>
      <c r="M5" s="20">
        <f>G5</f>
        <v>0.24868692011316509</v>
      </c>
      <c r="N5" s="20">
        <f>1-M5</f>
        <v>0.75131307988683493</v>
      </c>
      <c r="O5" s="24">
        <v>0.15</v>
      </c>
      <c r="Q5" s="22" t="str">
        <f ca="1">IFERROR(OFFSET(#REF!,SMALL(#REF!,ROW(B4))-1,0),"")</f>
        <v/>
      </c>
    </row>
    <row r="6" spans="2:17" x14ac:dyDescent="0.55000000000000004">
      <c r="B6" s="29"/>
      <c r="C6" s="44" t="s">
        <v>167</v>
      </c>
      <c r="D6" s="31">
        <f>COUNTIFS(database!$F:$F,$C$3,database!$J:$J,calc!C6,database!$B:$B,listbox!$D$3,database!$A:$A,listbox!$B$3)</f>
        <v>1</v>
      </c>
      <c r="E6" s="32">
        <f t="shared" ref="E6:E22" si="2">D6/$D$23</f>
        <v>7.1428571428571425E-2</v>
      </c>
      <c r="F6" s="33">
        <f>SUMIFS(database!$W:$W,database!$F:$F,calc!$C$3,database!$J:$J,calc!C6,database!$B:$B,listbox!$D$3,database!$A:$A,listbox!$B$3)</f>
        <v>75374246</v>
      </c>
      <c r="G6" s="32">
        <f t="shared" si="0"/>
        <v>5.324756457385095E-2</v>
      </c>
      <c r="H6" s="30"/>
      <c r="I6" s="31"/>
      <c r="J6" s="45" t="str">
        <f t="shared" si="1"/>
        <v>آشپزخانه (کارخانه)</v>
      </c>
      <c r="K6" s="24">
        <v>0.05</v>
      </c>
      <c r="L6" s="24">
        <v>0.2</v>
      </c>
      <c r="M6" s="20">
        <f t="shared" ref="M6:M22" si="3">G6</f>
        <v>5.324756457385095E-2</v>
      </c>
      <c r="N6" s="20">
        <f t="shared" ref="N6:N22" si="4">1-M6</f>
        <v>0.94675243542614906</v>
      </c>
      <c r="O6" s="24">
        <v>0.15</v>
      </c>
      <c r="Q6" s="22" t="str">
        <f ca="1">IFERROR(OFFSET(#REF!,SMALL(#REF!,ROW(B5))-1,0),"")</f>
        <v/>
      </c>
    </row>
    <row r="7" spans="2:17" hidden="1" x14ac:dyDescent="0.55000000000000004">
      <c r="B7" s="29"/>
      <c r="C7" s="44" t="s">
        <v>168</v>
      </c>
      <c r="D7" s="31">
        <f>COUNTIFS(database!$F:$F,$C$3,database!$J:$J,calc!C7,database!$B:$B,listbox!$D$3,database!$A:$A,listbox!$B$3)</f>
        <v>0</v>
      </c>
      <c r="E7" s="32">
        <f t="shared" si="2"/>
        <v>0</v>
      </c>
      <c r="F7" s="33">
        <f>SUMIFS(database!$W:$W,database!$F:$F,calc!$C$3,database!$J:$J,calc!C7,database!$B:$B,listbox!$D$3,database!$A:$A,listbox!$B$3)</f>
        <v>0</v>
      </c>
      <c r="G7" s="32">
        <f t="shared" si="0"/>
        <v>0</v>
      </c>
      <c r="H7" s="30"/>
      <c r="I7" s="31"/>
      <c r="J7" s="45" t="str">
        <f t="shared" si="1"/>
        <v>تدارکات (کارخانه)</v>
      </c>
      <c r="K7" s="24">
        <v>0.05</v>
      </c>
      <c r="L7" s="24">
        <v>0.2</v>
      </c>
      <c r="M7" s="20">
        <f t="shared" si="3"/>
        <v>0</v>
      </c>
      <c r="N7" s="20">
        <f t="shared" si="4"/>
        <v>1</v>
      </c>
      <c r="O7" s="24">
        <v>0.15</v>
      </c>
      <c r="Q7" s="22" t="str">
        <f ca="1">IFERROR(OFFSET(#REF!,SMALL(#REF!,ROW(B6))-1,0),"")</f>
        <v/>
      </c>
    </row>
    <row r="8" spans="2:17" x14ac:dyDescent="0.55000000000000004">
      <c r="B8" s="29"/>
      <c r="C8" s="44" t="s">
        <v>169</v>
      </c>
      <c r="D8" s="31">
        <f>COUNTIFS(database!$F:$F,$C$3,database!$J:$J,calc!C8,database!$B:$B,listbox!$D$3,database!$A:$A,listbox!$B$3)</f>
        <v>1</v>
      </c>
      <c r="E8" s="32">
        <f t="shared" si="2"/>
        <v>7.1428571428571425E-2</v>
      </c>
      <c r="F8" s="33">
        <f>SUMIFS(database!$W:$W,database!$F:$F,calc!$C$3,database!$J:$J,calc!C8,database!$B:$B,listbox!$D$3,database!$A:$A,listbox!$B$3)</f>
        <v>65125056</v>
      </c>
      <c r="G8" s="32">
        <f t="shared" si="0"/>
        <v>4.6007102011151914E-2</v>
      </c>
      <c r="H8" s="30"/>
      <c r="I8" s="31"/>
      <c r="J8" s="45" t="str">
        <f t="shared" si="1"/>
        <v>انبار (کارخانه)</v>
      </c>
      <c r="K8" s="24">
        <v>0.05</v>
      </c>
      <c r="L8" s="24">
        <v>0.2</v>
      </c>
      <c r="M8" s="20">
        <f>G8</f>
        <v>4.6007102011151914E-2</v>
      </c>
      <c r="N8" s="20">
        <f t="shared" si="4"/>
        <v>0.95399289798884812</v>
      </c>
      <c r="O8" s="24">
        <v>0.15</v>
      </c>
      <c r="Q8" s="22"/>
    </row>
    <row r="9" spans="2:17" hidden="1" x14ac:dyDescent="0.55000000000000004">
      <c r="B9" s="29"/>
      <c r="C9" s="44" t="s">
        <v>170</v>
      </c>
      <c r="D9" s="31">
        <f>COUNTIFS(database!$F:$F,$C$3,database!$J:$J,calc!C9,database!$B:$B,listbox!$D$3,database!$A:$A,listbox!$B$3)</f>
        <v>0</v>
      </c>
      <c r="E9" s="32">
        <f t="shared" si="2"/>
        <v>0</v>
      </c>
      <c r="F9" s="33">
        <f>SUMIFS(database!$W:$W,database!$F:$F,calc!$C$3,database!$J:$J,calc!C9,database!$B:$B,listbox!$D$3,database!$A:$A,listbox!$B$3)</f>
        <v>0</v>
      </c>
      <c r="G9" s="32">
        <f t="shared" si="0"/>
        <v>0</v>
      </c>
      <c r="H9" s="30"/>
      <c r="I9" s="31"/>
      <c r="J9" s="45" t="str">
        <f t="shared" si="1"/>
        <v>تاسیسات (کارخانه)</v>
      </c>
      <c r="K9" s="24">
        <v>0.05</v>
      </c>
      <c r="L9" s="24">
        <v>0.2</v>
      </c>
      <c r="M9" s="20">
        <f t="shared" si="3"/>
        <v>0</v>
      </c>
      <c r="N9" s="20">
        <f t="shared" si="4"/>
        <v>1</v>
      </c>
      <c r="O9" s="24">
        <v>0.15</v>
      </c>
      <c r="Q9" s="22" t="str">
        <f ca="1">IFERROR(OFFSET(#REF!,SMALL(#REF!,ROW(B8))-1,0),"")</f>
        <v/>
      </c>
    </row>
    <row r="10" spans="2:17" x14ac:dyDescent="0.55000000000000004">
      <c r="B10" s="29"/>
      <c r="C10" s="44" t="s">
        <v>171</v>
      </c>
      <c r="D10" s="31">
        <f>COUNTIFS(database!$F:$F,$C$3,database!$J:$J,calc!C10,database!$B:$B,listbox!$D$3,database!$A:$A,listbox!$B$3)</f>
        <v>1</v>
      </c>
      <c r="E10" s="32">
        <f t="shared" si="2"/>
        <v>7.1428571428571425E-2</v>
      </c>
      <c r="F10" s="33">
        <f>SUMIFS(database!$W:$W,database!$F:$F,calc!$C$3,database!$J:$J,calc!C10,database!$B:$B,listbox!$D$3,database!$A:$A,listbox!$B$3)</f>
        <v>140062731</v>
      </c>
      <c r="G10" s="32">
        <f t="shared" si="0"/>
        <v>9.8946254312280824E-2</v>
      </c>
      <c r="H10" s="30"/>
      <c r="I10" s="31"/>
      <c r="J10" s="45" t="str">
        <f t="shared" si="1"/>
        <v>فنی تولید (کارخانه)</v>
      </c>
      <c r="K10" s="24">
        <v>0.05</v>
      </c>
      <c r="L10" s="24">
        <v>0.2</v>
      </c>
      <c r="M10" s="20">
        <f t="shared" si="3"/>
        <v>9.8946254312280824E-2</v>
      </c>
      <c r="N10" s="20">
        <f t="shared" si="4"/>
        <v>0.90105374568771923</v>
      </c>
      <c r="O10" s="24">
        <v>0.15</v>
      </c>
      <c r="Q10" s="22" t="str">
        <f ca="1">IFERROR(OFFSET(#REF!,SMALL(#REF!,ROW(B9))-1,0),"")</f>
        <v/>
      </c>
    </row>
    <row r="11" spans="2:17" x14ac:dyDescent="0.55000000000000004">
      <c r="B11" s="29"/>
      <c r="C11" s="44" t="s">
        <v>193</v>
      </c>
      <c r="D11" s="31">
        <f>COUNTIFS(database!$F:$F,$C$3,database!$J:$J,calc!C11,database!$B:$B,listbox!$D$3,database!$A:$A,listbox!$B$3)</f>
        <v>1</v>
      </c>
      <c r="E11" s="32">
        <f t="shared" si="2"/>
        <v>7.1428571428571425E-2</v>
      </c>
      <c r="F11" s="33">
        <f>SUMIFS(database!$W:$W,database!$F:$F,calc!$C$3,database!$J:$J,calc!C11,database!$B:$B,listbox!$D$3,database!$A:$A,listbox!$B$3)</f>
        <v>97877450</v>
      </c>
      <c r="G11" s="32">
        <f t="shared" si="0"/>
        <v>6.9144782412800088E-2</v>
      </c>
      <c r="H11" s="30"/>
      <c r="I11" s="31"/>
      <c r="J11" s="45" t="str">
        <f t="shared" si="1"/>
        <v>تعمیر و نگهداری(کارخانه)</v>
      </c>
      <c r="K11" s="24">
        <v>0.05</v>
      </c>
      <c r="L11" s="24">
        <v>0.2</v>
      </c>
      <c r="M11" s="20">
        <f t="shared" si="3"/>
        <v>6.9144782412800088E-2</v>
      </c>
      <c r="N11" s="20">
        <f t="shared" si="4"/>
        <v>0.93085521758719991</v>
      </c>
      <c r="O11" s="24">
        <v>0.15</v>
      </c>
      <c r="Q11" s="22" t="str">
        <f ca="1">IFERROR(OFFSET(#REF!,SMALL(#REF!,ROW(B10))-1,0),"")</f>
        <v/>
      </c>
    </row>
    <row r="12" spans="2:17" hidden="1" x14ac:dyDescent="0.55000000000000004">
      <c r="B12" s="29"/>
      <c r="C12" s="44" t="s">
        <v>197</v>
      </c>
      <c r="D12" s="31">
        <f>COUNTIFS(database!$F:$F,$C$3,database!$J:$J,calc!C12,database!$B:$B,listbox!$D$3,database!$A:$A,listbox!$B$3)</f>
        <v>0</v>
      </c>
      <c r="E12" s="32">
        <f t="shared" si="2"/>
        <v>0</v>
      </c>
      <c r="F12" s="33">
        <f>SUMIFS(database!$W:$W,database!$F:$F,calc!$C$3,database!$J:$J,calc!C12,database!$B:$B,listbox!$D$3,database!$A:$A,listbox!$B$3)</f>
        <v>0</v>
      </c>
      <c r="G12" s="32">
        <f t="shared" si="0"/>
        <v>0</v>
      </c>
      <c r="H12" s="30"/>
      <c r="I12" s="31"/>
      <c r="J12" s="45" t="str">
        <f t="shared" si="1"/>
        <v>QC و کنترل کیفیت(کارخانه)</v>
      </c>
      <c r="K12" s="24">
        <v>0.05</v>
      </c>
      <c r="L12" s="24">
        <v>0.2</v>
      </c>
      <c r="M12" s="20">
        <f t="shared" si="3"/>
        <v>0</v>
      </c>
      <c r="N12" s="20">
        <f t="shared" si="4"/>
        <v>1</v>
      </c>
      <c r="O12" s="24">
        <v>0.15</v>
      </c>
      <c r="Q12" s="22" t="str">
        <f ca="1">IFERROR(OFFSET(#REF!,SMALL(#REF!,ROW(B11))-1,0),"")</f>
        <v/>
      </c>
    </row>
    <row r="13" spans="2:17" x14ac:dyDescent="0.55000000000000004">
      <c r="B13" s="29"/>
      <c r="C13" s="44" t="s">
        <v>173</v>
      </c>
      <c r="D13" s="31">
        <f>COUNTIFS(database!$F:$F,$C$3,database!$J:$J,calc!C13,database!$B:$B,listbox!$D$3,database!$A:$A,listbox!$B$3)</f>
        <v>1</v>
      </c>
      <c r="E13" s="32">
        <f t="shared" si="2"/>
        <v>7.1428571428571425E-2</v>
      </c>
      <c r="F13" s="33">
        <f>SUMIFS(database!$W:$W,database!$F:$F,calc!$C$3,database!$J:$J,calc!C13,database!$B:$B,listbox!$D$3,database!$A:$A,listbox!$B$3)</f>
        <v>95005580</v>
      </c>
      <c r="G13" s="32">
        <f t="shared" si="0"/>
        <v>6.7115971626782997E-2</v>
      </c>
      <c r="H13" s="30"/>
      <c r="I13" s="31"/>
      <c r="J13" s="45" t="str">
        <f t="shared" si="1"/>
        <v>حمل مواد اولیه (کارخانه)</v>
      </c>
      <c r="K13" s="24">
        <v>0.05</v>
      </c>
      <c r="L13" s="24">
        <v>0.2</v>
      </c>
      <c r="M13" s="20">
        <f t="shared" si="3"/>
        <v>6.7115971626782997E-2</v>
      </c>
      <c r="N13" s="20">
        <f t="shared" si="4"/>
        <v>0.93288402837321704</v>
      </c>
      <c r="O13" s="24">
        <v>0.15</v>
      </c>
      <c r="Q13" s="22" t="str">
        <f ca="1">IFERROR(OFFSET(#REF!,SMALL(#REF!,ROW(B12))-1,0),"")</f>
        <v/>
      </c>
    </row>
    <row r="14" spans="2:17" hidden="1" x14ac:dyDescent="0.55000000000000004">
      <c r="B14" s="29"/>
      <c r="C14" s="44" t="s">
        <v>196</v>
      </c>
      <c r="D14" s="31">
        <f>COUNTIFS(database!$F:$F,$C$3,database!$J:$J,calc!C14,database!$B:$B,listbox!$D$3,database!$A:$A,listbox!$B$3)</f>
        <v>0</v>
      </c>
      <c r="E14" s="32">
        <f t="shared" si="2"/>
        <v>0</v>
      </c>
      <c r="F14" s="33">
        <f>SUMIFS(database!$W:$W,database!$F:$F,calc!$C$3,database!$J:$J,calc!C14,database!$B:$B,listbox!$D$3,database!$A:$A,listbox!$B$3)</f>
        <v>0</v>
      </c>
      <c r="G14" s="32">
        <f t="shared" si="0"/>
        <v>0</v>
      </c>
      <c r="H14" s="30"/>
      <c r="I14" s="31"/>
      <c r="J14" s="45" t="str">
        <f t="shared" si="1"/>
        <v>حمل محصولات و سایر(کارخانه)</v>
      </c>
      <c r="K14" s="24">
        <v>0.05</v>
      </c>
      <c r="L14" s="24">
        <v>0.2</v>
      </c>
      <c r="M14" s="20">
        <f t="shared" si="3"/>
        <v>0</v>
      </c>
      <c r="N14" s="20">
        <f t="shared" si="4"/>
        <v>1</v>
      </c>
      <c r="O14" s="24">
        <v>0.15</v>
      </c>
      <c r="Q14" s="22" t="str">
        <f ca="1">IFERROR(OFFSET(#REF!,SMALL(#REF!,ROW(B13))-1,0),"")</f>
        <v/>
      </c>
    </row>
    <row r="15" spans="2:17" hidden="1" x14ac:dyDescent="0.55000000000000004">
      <c r="B15" s="29"/>
      <c r="C15" s="44" t="s">
        <v>175</v>
      </c>
      <c r="D15" s="31">
        <f>COUNTIFS(database!$F:$F,$C$3,database!$J:$J,calc!C15,database!$B:$B,listbox!$D$3,database!$A:$A,listbox!$B$3)</f>
        <v>0</v>
      </c>
      <c r="E15" s="32">
        <f t="shared" si="2"/>
        <v>0</v>
      </c>
      <c r="F15" s="33">
        <f>SUMIFS(database!$W:$W,database!$F:$F,calc!$C$3,database!$J:$J,calc!C15,database!$B:$B,listbox!$D$3,database!$A:$A,listbox!$B$3)</f>
        <v>0</v>
      </c>
      <c r="G15" s="32">
        <f t="shared" si="0"/>
        <v>0</v>
      </c>
      <c r="H15" s="30"/>
      <c r="I15" s="31"/>
      <c r="J15" s="45" t="str">
        <f t="shared" si="1"/>
        <v>قالب سازی(کارخانه)</v>
      </c>
      <c r="K15" s="24">
        <v>0.05</v>
      </c>
      <c r="L15" s="24">
        <v>0.2</v>
      </c>
      <c r="M15" s="20">
        <f t="shared" si="3"/>
        <v>0</v>
      </c>
      <c r="N15" s="20">
        <f t="shared" si="4"/>
        <v>1</v>
      </c>
      <c r="O15" s="24">
        <v>0.15</v>
      </c>
      <c r="Q15" s="22" t="str">
        <f ca="1">IFERROR(OFFSET(#REF!,SMALL(#REF!,ROW(B14))-1,0),"")</f>
        <v/>
      </c>
    </row>
    <row r="16" spans="2:17" x14ac:dyDescent="0.55000000000000004">
      <c r="B16" s="29"/>
      <c r="C16" s="44" t="s">
        <v>176</v>
      </c>
      <c r="D16" s="31">
        <f>COUNTIFS(database!$F:$F,$C$3,database!$J:$J,calc!C16,database!$B:$B,listbox!$D$3,database!$A:$A,listbox!$B$3)</f>
        <v>2</v>
      </c>
      <c r="E16" s="32">
        <f t="shared" si="2"/>
        <v>0.14285714285714285</v>
      </c>
      <c r="F16" s="33">
        <f>SUMIFS(database!$W:$W,database!$F:$F,calc!$C$3,database!$J:$J,calc!C16,database!$B:$B,listbox!$D$3,database!$A:$A,listbox!$B$3)</f>
        <v>193727362</v>
      </c>
      <c r="G16" s="32">
        <f t="shared" si="0"/>
        <v>0.13685722597897429</v>
      </c>
      <c r="H16" s="30"/>
      <c r="I16" s="31"/>
      <c r="J16" s="45" t="str">
        <f t="shared" si="1"/>
        <v>بتن سازی(کارخانه)</v>
      </c>
      <c r="K16" s="24">
        <v>0.05</v>
      </c>
      <c r="L16" s="24">
        <v>0.2</v>
      </c>
      <c r="M16" s="20">
        <f t="shared" si="3"/>
        <v>0.13685722597897429</v>
      </c>
      <c r="N16" s="20">
        <f t="shared" si="4"/>
        <v>0.86314277402102568</v>
      </c>
      <c r="O16" s="24">
        <v>0.15</v>
      </c>
      <c r="Q16" s="22" t="str">
        <f ca="1">IFERROR(OFFSET(#REF!,SMALL(#REF!,ROW(B15))-1,0),"")</f>
        <v/>
      </c>
    </row>
    <row r="17" spans="2:17" x14ac:dyDescent="0.55000000000000004">
      <c r="B17" s="29"/>
      <c r="C17" s="44" t="s">
        <v>177</v>
      </c>
      <c r="D17" s="31">
        <f>COUNTIFS(database!$F:$F,$C$3,database!$J:$J,calc!C17,database!$B:$B,listbox!$D$3,database!$A:$A,listbox!$B$3)</f>
        <v>2</v>
      </c>
      <c r="E17" s="32">
        <f t="shared" si="2"/>
        <v>0.14285714285714285</v>
      </c>
      <c r="F17" s="33">
        <f>SUMIFS(database!$W:$W,database!$F:$F,calc!$C$3,database!$J:$J,calc!C17,database!$B:$B,listbox!$D$3,database!$A:$A,listbox!$B$3)</f>
        <v>201383877</v>
      </c>
      <c r="G17" s="32">
        <f t="shared" si="0"/>
        <v>0.14226611294645597</v>
      </c>
      <c r="H17" s="30"/>
      <c r="I17" s="31"/>
      <c r="J17" s="45" t="str">
        <f t="shared" si="1"/>
        <v>بتن ریزی(کارخانه)</v>
      </c>
      <c r="K17" s="24">
        <v>0.05</v>
      </c>
      <c r="L17" s="24">
        <v>0.2</v>
      </c>
      <c r="M17" s="20">
        <f t="shared" si="3"/>
        <v>0.14226611294645597</v>
      </c>
      <c r="N17" s="20">
        <f t="shared" si="4"/>
        <v>0.85773388705354403</v>
      </c>
      <c r="O17" s="24">
        <v>0.15</v>
      </c>
      <c r="Q17" s="22" t="str">
        <f ca="1">IFERROR(OFFSET(#REF!,SMALL(#REF!,ROW(B16))-1,0),"")</f>
        <v/>
      </c>
    </row>
    <row r="18" spans="2:17" x14ac:dyDescent="0.55000000000000004">
      <c r="B18" s="29"/>
      <c r="C18" s="44" t="s">
        <v>178</v>
      </c>
      <c r="D18" s="31">
        <f>COUNTIFS(database!$F:$F,$C$3,database!$J:$J,calc!C18,database!$B:$B,listbox!$D$3,database!$A:$A,listbox!$B$3)</f>
        <v>1</v>
      </c>
      <c r="E18" s="32">
        <f t="shared" si="2"/>
        <v>7.1428571428571425E-2</v>
      </c>
      <c r="F18" s="33">
        <f>SUMIFS(database!$W:$W,database!$F:$F,calc!$C$3,database!$J:$J,calc!C18,database!$B:$B,listbox!$D$3,database!$A:$A,listbox!$B$3)</f>
        <v>78876171</v>
      </c>
      <c r="G18" s="32">
        <f t="shared" si="0"/>
        <v>5.572147293732941E-2</v>
      </c>
      <c r="H18" s="30"/>
      <c r="I18" s="31"/>
      <c r="J18" s="45" t="str">
        <f t="shared" si="1"/>
        <v>آرماتور، میلگرد (کارخانه)</v>
      </c>
      <c r="K18" s="24">
        <v>0.05</v>
      </c>
      <c r="L18" s="24">
        <v>0.2</v>
      </c>
      <c r="M18" s="20">
        <f t="shared" si="3"/>
        <v>5.572147293732941E-2</v>
      </c>
      <c r="N18" s="20">
        <f t="shared" si="4"/>
        <v>0.94427852706267057</v>
      </c>
      <c r="O18" s="24">
        <v>0.15</v>
      </c>
      <c r="Q18" s="22" t="str">
        <f ca="1">IFERROR(OFFSET(#REF!,SMALL(#REF!,ROW(B17))-1,0),"")</f>
        <v/>
      </c>
    </row>
    <row r="19" spans="2:17" hidden="1" x14ac:dyDescent="0.55000000000000004">
      <c r="B19" s="29"/>
      <c r="C19" s="44" t="s">
        <v>179</v>
      </c>
      <c r="D19" s="31">
        <f>COUNTIFS(database!$F:$F,$C$3,database!$J:$J,calc!C19,database!$B:$B,listbox!$D$3,database!$A:$A,listbox!$B$3)</f>
        <v>0</v>
      </c>
      <c r="E19" s="32">
        <f t="shared" si="2"/>
        <v>0</v>
      </c>
      <c r="F19" s="33">
        <f>SUMIFS(database!$W:$W,database!$F:$F,calc!$C$3,database!$J:$J,calc!C19,database!$B:$B,listbox!$D$3,database!$A:$A,listbox!$B$3)</f>
        <v>0</v>
      </c>
      <c r="G19" s="32">
        <f t="shared" si="0"/>
        <v>0</v>
      </c>
      <c r="H19" s="30"/>
      <c r="I19" s="31"/>
      <c r="J19" s="45" t="str">
        <f t="shared" si="1"/>
        <v>کیورینگ(کارخانه)</v>
      </c>
      <c r="K19" s="24">
        <v>0.05</v>
      </c>
      <c r="L19" s="24">
        <v>0.2</v>
      </c>
      <c r="M19" s="20">
        <f t="shared" si="3"/>
        <v>0</v>
      </c>
      <c r="N19" s="20">
        <f t="shared" si="4"/>
        <v>1</v>
      </c>
      <c r="O19" s="24">
        <v>0.15</v>
      </c>
      <c r="Q19" s="22" t="str">
        <f ca="1">IFERROR(OFFSET(#REF!,SMALL(#REF!,ROW(B18))-1,0),"")</f>
        <v/>
      </c>
    </row>
    <row r="20" spans="2:17" hidden="1" x14ac:dyDescent="0.55000000000000004">
      <c r="B20" s="29"/>
      <c r="C20" s="44" t="s">
        <v>180</v>
      </c>
      <c r="D20" s="31">
        <f>COUNTIFS(database!$F:$F,$C$3,database!$J:$J,calc!C20,database!$B:$B,listbox!$D$3,database!$A:$A,listbox!$B$3)</f>
        <v>0</v>
      </c>
      <c r="E20" s="32">
        <f t="shared" si="2"/>
        <v>0</v>
      </c>
      <c r="F20" s="33">
        <f>SUMIFS(database!$W:$W,database!$F:$F,calc!$C$3,database!$J:$J,calc!C20,database!$B:$B,listbox!$D$3,database!$A:$A,listbox!$B$3)</f>
        <v>0</v>
      </c>
      <c r="G20" s="32">
        <f t="shared" si="0"/>
        <v>0</v>
      </c>
      <c r="H20" s="30"/>
      <c r="I20" s="31"/>
      <c r="J20" s="45" t="str">
        <f t="shared" si="1"/>
        <v>مدیریت(کارخانه)</v>
      </c>
      <c r="K20" s="24">
        <v>0.05</v>
      </c>
      <c r="L20" s="24">
        <v>0.2</v>
      </c>
      <c r="M20" s="20">
        <f t="shared" si="3"/>
        <v>0</v>
      </c>
      <c r="N20" s="20">
        <f t="shared" si="4"/>
        <v>1</v>
      </c>
      <c r="O20" s="24">
        <v>0.15</v>
      </c>
    </row>
    <row r="21" spans="2:17" x14ac:dyDescent="0.55000000000000004">
      <c r="B21" s="29"/>
      <c r="C21" s="44" t="s">
        <v>181</v>
      </c>
      <c r="D21" s="31">
        <f>COUNTIFS(database!$F:$F,$C$3,database!$J:$J,calc!C21,database!$B:$B,listbox!$D$3,database!$A:$A,listbox!$B$3)</f>
        <v>1</v>
      </c>
      <c r="E21" s="32">
        <f t="shared" si="2"/>
        <v>7.1428571428571425E-2</v>
      </c>
      <c r="F21" s="33">
        <f>SUMIFS(database!$W:$W,database!$F:$F,calc!$C$3,database!$J:$J,calc!C21,database!$B:$B,listbox!$D$3,database!$A:$A,listbox!$B$3)</f>
        <v>116083903</v>
      </c>
      <c r="G21" s="32">
        <f t="shared" si="0"/>
        <v>8.2006593087208465E-2</v>
      </c>
      <c r="H21" s="30"/>
      <c r="I21" s="31"/>
      <c r="J21" s="45" t="str">
        <f t="shared" si="1"/>
        <v>اداری(کارخانه)</v>
      </c>
      <c r="K21" s="24">
        <v>0.05</v>
      </c>
      <c r="L21" s="24">
        <v>0.2</v>
      </c>
      <c r="M21" s="20">
        <f t="shared" si="3"/>
        <v>8.2006593087208465E-2</v>
      </c>
      <c r="N21" s="20">
        <f t="shared" si="4"/>
        <v>0.91799340691279152</v>
      </c>
      <c r="O21" s="24">
        <v>0.15</v>
      </c>
    </row>
    <row r="22" spans="2:17" hidden="1" x14ac:dyDescent="0.55000000000000004">
      <c r="B22" s="29"/>
      <c r="C22" s="44" t="s">
        <v>165</v>
      </c>
      <c r="D22" s="31">
        <f>COUNTIFS(database!$F:$F,$C$3,database!$J:$J,calc!C22,database!$B:$B,listbox!$D$3,database!$A:$A,listbox!$B$3)</f>
        <v>0</v>
      </c>
      <c r="E22" s="32">
        <f t="shared" si="2"/>
        <v>0</v>
      </c>
      <c r="F22" s="33">
        <f>SUMIFS(database!$W:$W,database!$F:$F,calc!$C$3,database!$J:$J,calc!C22,database!$B:$B,listbox!$D$3,database!$A:$A,listbox!$B$3)</f>
        <v>0</v>
      </c>
      <c r="G22" s="32">
        <f t="shared" si="0"/>
        <v>0</v>
      </c>
      <c r="H22" s="30"/>
      <c r="I22" s="31"/>
      <c r="J22" s="45" t="str">
        <f t="shared" si="1"/>
        <v>توزیع و فروش</v>
      </c>
      <c r="K22" s="24">
        <v>0.05</v>
      </c>
      <c r="L22" s="24">
        <v>0.2</v>
      </c>
      <c r="M22" s="20">
        <f t="shared" si="3"/>
        <v>0</v>
      </c>
      <c r="N22" s="20">
        <f t="shared" si="4"/>
        <v>1</v>
      </c>
      <c r="O22" s="24">
        <v>0.15</v>
      </c>
    </row>
    <row r="23" spans="2:17" ht="24" x14ac:dyDescent="0.55000000000000004">
      <c r="B23" s="29"/>
      <c r="C23" s="19" t="s">
        <v>136</v>
      </c>
      <c r="D23" s="19">
        <f>SUM(D5:D22)</f>
        <v>14</v>
      </c>
      <c r="E23" s="21">
        <f>SUM(E5:E22)</f>
        <v>0.99999999999999978</v>
      </c>
      <c r="F23" s="23">
        <f>SUM(F5:F22)</f>
        <v>1415543539</v>
      </c>
      <c r="G23" s="21">
        <f>SUM(G5:G22)</f>
        <v>1</v>
      </c>
      <c r="H23" s="30"/>
      <c r="I23" s="31"/>
    </row>
    <row r="24" spans="2:17" x14ac:dyDescent="0.55000000000000004">
      <c r="B24" s="29"/>
      <c r="C24" s="31"/>
      <c r="D24" s="31"/>
      <c r="E24" s="31"/>
      <c r="F24" s="31"/>
      <c r="G24" s="31"/>
      <c r="H24" s="30"/>
      <c r="I24" s="31"/>
    </row>
    <row r="25" spans="2:17" x14ac:dyDescent="0.55000000000000004">
      <c r="B25" s="29"/>
      <c r="C25" s="31"/>
      <c r="D25" s="31"/>
      <c r="E25" s="31"/>
      <c r="F25" s="31"/>
      <c r="G25" s="31"/>
      <c r="H25" s="30"/>
      <c r="I25" s="31"/>
    </row>
    <row r="26" spans="2:17" ht="26.25" x14ac:dyDescent="0.55000000000000004">
      <c r="B26" s="29"/>
      <c r="C26" s="66" t="s">
        <v>4</v>
      </c>
      <c r="D26" s="66"/>
      <c r="E26" s="66"/>
      <c r="F26" s="66"/>
      <c r="G26" s="66"/>
      <c r="H26" s="30"/>
      <c r="I26" s="31"/>
    </row>
    <row r="27" spans="2:17" ht="24" x14ac:dyDescent="0.55000000000000004">
      <c r="B27" s="29"/>
      <c r="C27" s="8" t="s">
        <v>96</v>
      </c>
      <c r="D27" s="8" t="s">
        <v>113</v>
      </c>
      <c r="E27" s="8" t="s">
        <v>114</v>
      </c>
      <c r="F27" s="8" t="s">
        <v>115</v>
      </c>
      <c r="G27" s="8" t="s">
        <v>116</v>
      </c>
      <c r="H27" s="30"/>
      <c r="I27" s="31"/>
      <c r="J27" s="1" t="s">
        <v>96</v>
      </c>
      <c r="K27" s="1" t="s">
        <v>138</v>
      </c>
      <c r="L27" s="1" t="s">
        <v>139</v>
      </c>
      <c r="M27" s="1" t="s">
        <v>140</v>
      </c>
      <c r="N27" s="1" t="s">
        <v>141</v>
      </c>
      <c r="O27" s="1" t="s">
        <v>142</v>
      </c>
    </row>
    <row r="28" spans="2:17" hidden="1" x14ac:dyDescent="0.55000000000000004">
      <c r="B28" s="29"/>
      <c r="C28" s="44" t="s">
        <v>185</v>
      </c>
      <c r="D28" s="31">
        <f>COUNTIFS(database!$F:$F,$C$26,database!$J:$J,calc!C28,database!$B:$B,listbox!$D$3,database!$A:$A,listbox!$B$3)</f>
        <v>0</v>
      </c>
      <c r="E28" s="32">
        <f t="shared" ref="E28:E35" si="5">D28/$D$36</f>
        <v>0</v>
      </c>
      <c r="F28" s="33">
        <f>SUMIFS(database!$W:$W,database!$F:$F,calc!$C$26,database!$J:$J,calc!C28,database!$B:$B,listbox!$D$3,database!$A:$A,listbox!$B$3)</f>
        <v>0</v>
      </c>
      <c r="G28" s="32">
        <f t="shared" ref="G28:G35" si="6">F28/$F$36</f>
        <v>0</v>
      </c>
      <c r="H28" s="30"/>
      <c r="I28" s="31"/>
      <c r="J28" s="7" t="str">
        <f t="shared" ref="J28:J35" si="7">C28</f>
        <v>آشپزخانه(دفتر مرکزی)</v>
      </c>
      <c r="K28" s="24">
        <v>0.05</v>
      </c>
      <c r="L28" s="24">
        <v>0.2</v>
      </c>
      <c r="M28" s="20">
        <f t="shared" ref="M28:M35" si="8">G28</f>
        <v>0</v>
      </c>
      <c r="N28" s="20">
        <f>1-M28</f>
        <v>1</v>
      </c>
      <c r="O28" s="24">
        <v>0.15</v>
      </c>
    </row>
    <row r="29" spans="2:17" x14ac:dyDescent="0.55000000000000004">
      <c r="B29" s="29"/>
      <c r="C29" s="44" t="s">
        <v>186</v>
      </c>
      <c r="D29" s="31">
        <f>COUNTIFS(database!$F:$F,$C$26,database!$J:$J,calc!C29,database!$B:$B,listbox!$D$3,database!$A:$A,listbox!$B$3)</f>
        <v>1</v>
      </c>
      <c r="E29" s="32">
        <f t="shared" si="5"/>
        <v>0.25</v>
      </c>
      <c r="F29" s="33">
        <f>SUMIFS(database!$W:$W,database!$F:$F,calc!$C$26,database!$J:$J,calc!C29,database!$B:$B,listbox!$D$3,database!$A:$A,listbox!$B$3)</f>
        <v>99922769</v>
      </c>
      <c r="G29" s="32">
        <f t="shared" si="6"/>
        <v>0.21112582398618068</v>
      </c>
      <c r="H29" s="30"/>
      <c r="I29" s="31"/>
      <c r="J29" s="7" t="str">
        <f t="shared" si="7"/>
        <v>تدارکات(دفتر مرکزی)</v>
      </c>
      <c r="K29" s="24">
        <v>0.05</v>
      </c>
      <c r="L29" s="24">
        <v>0.2</v>
      </c>
      <c r="M29" s="20">
        <f t="shared" si="8"/>
        <v>0.21112582398618068</v>
      </c>
      <c r="N29" s="20">
        <f t="shared" ref="N29:N35" si="9">1-M29</f>
        <v>0.78887417601381937</v>
      </c>
      <c r="O29" s="24">
        <v>0.15</v>
      </c>
    </row>
    <row r="30" spans="2:17" hidden="1" x14ac:dyDescent="0.55000000000000004">
      <c r="B30" s="29"/>
      <c r="C30" s="44" t="s">
        <v>187</v>
      </c>
      <c r="D30" s="31">
        <f>COUNTIFS(database!$F:$F,$C$26,database!$J:$J,calc!C30,database!$B:$B,listbox!$D$3,database!$A:$A,listbox!$B$3)</f>
        <v>0</v>
      </c>
      <c r="E30" s="32">
        <f t="shared" si="5"/>
        <v>0</v>
      </c>
      <c r="F30" s="33">
        <f>SUMIFS(database!$W:$W,database!$F:$F,calc!$C$26,database!$J:$J,calc!C30,database!$B:$B,listbox!$D$3,database!$A:$A,listbox!$B$3)</f>
        <v>0</v>
      </c>
      <c r="G30" s="32">
        <f t="shared" si="6"/>
        <v>0</v>
      </c>
      <c r="H30" s="30"/>
      <c r="I30" s="31"/>
      <c r="J30" s="7" t="str">
        <f t="shared" si="7"/>
        <v>بازرگانی(دفتر مرکزی)</v>
      </c>
      <c r="K30" s="24">
        <v>0.05</v>
      </c>
      <c r="L30" s="24">
        <v>0.2</v>
      </c>
      <c r="M30" s="20">
        <f t="shared" si="8"/>
        <v>0</v>
      </c>
      <c r="N30" s="20">
        <f t="shared" si="9"/>
        <v>1</v>
      </c>
      <c r="O30" s="24">
        <v>0.15</v>
      </c>
    </row>
    <row r="31" spans="2:17" hidden="1" x14ac:dyDescent="0.55000000000000004">
      <c r="B31" s="29"/>
      <c r="C31" s="44" t="s">
        <v>188</v>
      </c>
      <c r="D31" s="31">
        <f>COUNTIFS(database!$F:$F,$C$26,database!$J:$J,calc!C31,database!$B:$B,listbox!$D$3,database!$A:$A,listbox!$B$3)</f>
        <v>0</v>
      </c>
      <c r="E31" s="32">
        <f t="shared" si="5"/>
        <v>0</v>
      </c>
      <c r="F31" s="33">
        <f>SUMIFS(database!$W:$W,database!$F:$F,calc!$C$26,database!$J:$J,calc!C31,database!$B:$B,listbox!$D$3,database!$A:$A,listbox!$B$3)</f>
        <v>0</v>
      </c>
      <c r="G31" s="32">
        <f t="shared" si="6"/>
        <v>0</v>
      </c>
      <c r="H31" s="30"/>
      <c r="I31" s="31"/>
      <c r="J31" s="7" t="str">
        <f t="shared" si="7"/>
        <v>فنی(دفتر مرکزی)</v>
      </c>
      <c r="K31" s="24">
        <v>0.05</v>
      </c>
      <c r="L31" s="24">
        <v>0.2</v>
      </c>
      <c r="M31" s="20">
        <f t="shared" si="8"/>
        <v>0</v>
      </c>
      <c r="N31" s="20">
        <f t="shared" si="9"/>
        <v>1</v>
      </c>
      <c r="O31" s="24">
        <v>0.15</v>
      </c>
    </row>
    <row r="32" spans="2:17" x14ac:dyDescent="0.55000000000000004">
      <c r="B32" s="29"/>
      <c r="C32" s="44" t="s">
        <v>189</v>
      </c>
      <c r="D32" s="31">
        <f>COUNTIFS(database!$F:$F,$C$26,database!$J:$J,calc!C32,database!$B:$B,listbox!$D$3,database!$A:$A,listbox!$B$3)</f>
        <v>1</v>
      </c>
      <c r="E32" s="32">
        <f t="shared" si="5"/>
        <v>0.25</v>
      </c>
      <c r="F32" s="33">
        <f>SUMIFS(database!$W:$W,database!$F:$F,calc!$C$26,database!$J:$J,calc!C32,database!$B:$B,listbox!$D$3,database!$A:$A,listbox!$B$3)</f>
        <v>159695841</v>
      </c>
      <c r="G32" s="32">
        <f t="shared" si="6"/>
        <v>0.33741975283222081</v>
      </c>
      <c r="H32" s="30"/>
      <c r="I32" s="31"/>
      <c r="J32" s="7" t="str">
        <f t="shared" si="7"/>
        <v>مدیریت عامل(دفتر مرکزی)</v>
      </c>
      <c r="K32" s="24">
        <v>0.05</v>
      </c>
      <c r="L32" s="24">
        <v>0.2</v>
      </c>
      <c r="M32" s="20">
        <f t="shared" si="8"/>
        <v>0.33741975283222081</v>
      </c>
      <c r="N32" s="20">
        <f t="shared" si="9"/>
        <v>0.66258024716777919</v>
      </c>
      <c r="O32" s="24">
        <v>0.15</v>
      </c>
    </row>
    <row r="33" spans="2:15" hidden="1" x14ac:dyDescent="0.55000000000000004">
      <c r="B33" s="29"/>
      <c r="C33" s="44" t="s">
        <v>192</v>
      </c>
      <c r="D33" s="31">
        <f>COUNTIFS(database!$F:$F,$C$26,database!$J:$J,calc!C33,database!$B:$B,listbox!$D$3,database!$A:$A,listbox!$B$3)</f>
        <v>0</v>
      </c>
      <c r="E33" s="32">
        <f t="shared" si="5"/>
        <v>0</v>
      </c>
      <c r="F33" s="33">
        <f>SUMIFS(database!$W:$W,database!$F:$F,calc!$C$26,database!$J:$J,calc!C33,database!$B:$B,listbox!$D$3,database!$A:$A,listbox!$B$3)</f>
        <v>0</v>
      </c>
      <c r="G33" s="32">
        <f t="shared" si="6"/>
        <v>0</v>
      </c>
      <c r="H33" s="30"/>
      <c r="I33" s="31"/>
      <c r="J33" s="7" t="str">
        <f t="shared" si="7"/>
        <v>هیئت مدیره(دفترمرکزی)</v>
      </c>
      <c r="K33" s="24">
        <v>0.05</v>
      </c>
      <c r="L33" s="24">
        <v>0.2</v>
      </c>
      <c r="M33" s="20">
        <f t="shared" si="8"/>
        <v>0</v>
      </c>
      <c r="N33" s="20">
        <f t="shared" si="9"/>
        <v>1</v>
      </c>
      <c r="O33" s="24">
        <v>0.15</v>
      </c>
    </row>
    <row r="34" spans="2:15" x14ac:dyDescent="0.55000000000000004">
      <c r="B34" s="29"/>
      <c r="C34" s="44" t="s">
        <v>190</v>
      </c>
      <c r="D34" s="31">
        <f>COUNTIFS(database!$F:$F,$C$26,database!$J:$J,calc!C34,database!$B:$B,listbox!$D$3,database!$A:$A,listbox!$B$3)</f>
        <v>1</v>
      </c>
      <c r="E34" s="32">
        <f t="shared" si="5"/>
        <v>0.25</v>
      </c>
      <c r="F34" s="33">
        <f>SUMIFS(database!$W:$W,database!$F:$F,calc!$C$26,database!$J:$J,calc!C34,database!$B:$B,listbox!$D$3,database!$A:$A,listbox!$B$3)</f>
        <v>125187267</v>
      </c>
      <c r="G34" s="32">
        <f t="shared" si="6"/>
        <v>0.26450693032689082</v>
      </c>
      <c r="H34" s="30"/>
      <c r="I34" s="31"/>
      <c r="J34" s="7" t="str">
        <f t="shared" si="7"/>
        <v>مالی (دفتر مرکزی)</v>
      </c>
      <c r="K34" s="24">
        <v>0.05</v>
      </c>
      <c r="L34" s="24">
        <v>0.2</v>
      </c>
      <c r="M34" s="20">
        <f t="shared" si="8"/>
        <v>0.26450693032689082</v>
      </c>
      <c r="N34" s="20">
        <f t="shared" si="9"/>
        <v>0.73549306967310923</v>
      </c>
      <c r="O34" s="24">
        <v>0.15</v>
      </c>
    </row>
    <row r="35" spans="2:15" x14ac:dyDescent="0.55000000000000004">
      <c r="B35" s="29"/>
      <c r="C35" s="44" t="s">
        <v>191</v>
      </c>
      <c r="D35" s="31">
        <f>COUNTIFS(database!$F:$F,$C$26,database!$J:$J,calc!C35,database!$B:$B,listbox!$D$3,database!$A:$A,listbox!$B$3)</f>
        <v>1</v>
      </c>
      <c r="E35" s="32">
        <f t="shared" si="5"/>
        <v>0.25</v>
      </c>
      <c r="F35" s="33">
        <f>SUMIFS(database!$W:$W,database!$F:$F,calc!$C$26,database!$J:$J,calc!C35,database!$B:$B,listbox!$D$3,database!$A:$A,listbox!$B$3)</f>
        <v>88479518</v>
      </c>
      <c r="G35" s="32">
        <f t="shared" si="6"/>
        <v>0.18694749285470769</v>
      </c>
      <c r="H35" s="30"/>
      <c r="I35" s="31"/>
      <c r="J35" s="7" t="str">
        <f t="shared" si="7"/>
        <v>اداری (دفتر مرکزی)</v>
      </c>
      <c r="K35" s="24">
        <v>0.05</v>
      </c>
      <c r="L35" s="24">
        <v>0.2</v>
      </c>
      <c r="M35" s="20">
        <f t="shared" si="8"/>
        <v>0.18694749285470769</v>
      </c>
      <c r="N35" s="20">
        <f t="shared" si="9"/>
        <v>0.81305250714529231</v>
      </c>
      <c r="O35" s="24">
        <v>0.15</v>
      </c>
    </row>
    <row r="36" spans="2:15" ht="24" x14ac:dyDescent="0.55000000000000004">
      <c r="B36" s="29"/>
      <c r="C36" s="19" t="s">
        <v>136</v>
      </c>
      <c r="D36" s="19">
        <f>SUM(D28:D35)</f>
        <v>4</v>
      </c>
      <c r="E36" s="21">
        <f>SUM(E28:E35)</f>
        <v>1</v>
      </c>
      <c r="F36" s="23">
        <f t="shared" ref="F36" si="10">SUM(F28:F35)</f>
        <v>473285395</v>
      </c>
      <c r="G36" s="21">
        <f>SUM(G28:G35)</f>
        <v>1</v>
      </c>
      <c r="H36" s="30"/>
      <c r="I36" s="31"/>
    </row>
    <row r="37" spans="2:15" x14ac:dyDescent="0.55000000000000004">
      <c r="B37" s="29"/>
      <c r="C37" s="31"/>
      <c r="D37" s="31"/>
      <c r="E37" s="31"/>
      <c r="F37" s="31"/>
      <c r="G37" s="31"/>
      <c r="H37" s="30"/>
      <c r="I37" s="31"/>
    </row>
    <row r="38" spans="2:15" x14ac:dyDescent="0.55000000000000004">
      <c r="B38" s="29"/>
      <c r="C38" s="31"/>
      <c r="D38" s="31"/>
      <c r="E38" s="31"/>
      <c r="F38" s="31"/>
      <c r="G38" s="31"/>
      <c r="H38" s="30"/>
      <c r="I38" s="31"/>
    </row>
    <row r="39" spans="2:15" ht="26.25" x14ac:dyDescent="0.55000000000000004">
      <c r="B39" s="29"/>
      <c r="C39" s="66" t="s">
        <v>117</v>
      </c>
      <c r="D39" s="66"/>
      <c r="E39" s="66"/>
      <c r="F39" s="66"/>
      <c r="G39" s="66"/>
      <c r="H39" s="30"/>
      <c r="I39" s="31"/>
    </row>
    <row r="40" spans="2:15" ht="24" x14ac:dyDescent="0.55000000000000004">
      <c r="B40" s="29"/>
      <c r="C40" s="8" t="s">
        <v>96</v>
      </c>
      <c r="D40" s="8" t="s">
        <v>113</v>
      </c>
      <c r="E40" s="8" t="s">
        <v>114</v>
      </c>
      <c r="F40" s="25" t="s">
        <v>115</v>
      </c>
      <c r="G40" s="8" t="s">
        <v>116</v>
      </c>
      <c r="H40" s="30"/>
      <c r="I40" s="31"/>
      <c r="J40" s="8" t="s">
        <v>202</v>
      </c>
      <c r="K40" s="8" t="s">
        <v>138</v>
      </c>
      <c r="L40" s="8" t="s">
        <v>139</v>
      </c>
      <c r="M40" s="25" t="s">
        <v>140</v>
      </c>
      <c r="N40" s="8" t="s">
        <v>141</v>
      </c>
      <c r="O40" s="8" t="s">
        <v>142</v>
      </c>
    </row>
    <row r="41" spans="2:15" x14ac:dyDescent="0.55000000000000004">
      <c r="B41" s="29"/>
      <c r="C41" s="7" t="s">
        <v>3</v>
      </c>
      <c r="D41" s="31">
        <f>COUNTIFS(database!$F:$F,calc!C41,database!$B:$B,listbox!$D$3,database!$A:$A,listbox!$B$3)</f>
        <v>14</v>
      </c>
      <c r="E41" s="34">
        <f>D41/$D$43</f>
        <v>0.77777777777777779</v>
      </c>
      <c r="F41" s="33">
        <f>$F$23</f>
        <v>1415543539</v>
      </c>
      <c r="G41" s="34">
        <f>F41/$F$43</f>
        <v>0.74942919049968348</v>
      </c>
      <c r="H41" s="30"/>
      <c r="I41" s="31"/>
      <c r="J41" s="1" t="str">
        <f>C41</f>
        <v>بندرعباس</v>
      </c>
      <c r="K41" s="24">
        <v>0.05</v>
      </c>
      <c r="L41" s="24">
        <v>0.2</v>
      </c>
      <c r="M41" s="20">
        <f>G41</f>
        <v>0.74942919049968348</v>
      </c>
      <c r="N41" s="20">
        <f>1-M41</f>
        <v>0.25057080950031652</v>
      </c>
      <c r="O41" s="24">
        <v>0.15</v>
      </c>
    </row>
    <row r="42" spans="2:15" x14ac:dyDescent="0.55000000000000004">
      <c r="B42" s="29"/>
      <c r="C42" s="7" t="s">
        <v>4</v>
      </c>
      <c r="D42" s="31">
        <f>COUNTIFS(database!$F:$F,calc!C42,database!$B:$B,listbox!$D$3,database!$A:$A,listbox!$B$3)</f>
        <v>4</v>
      </c>
      <c r="E42" s="34">
        <f>D42/$D$43</f>
        <v>0.22222222222222221</v>
      </c>
      <c r="F42" s="33">
        <f>$F$36</f>
        <v>473285395</v>
      </c>
      <c r="G42" s="34">
        <f>F42/$F$43</f>
        <v>0.25057080950031657</v>
      </c>
      <c r="H42" s="30"/>
      <c r="I42" s="31"/>
      <c r="J42" s="1" t="str">
        <f>C42</f>
        <v>تهران</v>
      </c>
      <c r="K42" s="24">
        <v>0.05</v>
      </c>
      <c r="L42" s="24">
        <v>0.2</v>
      </c>
      <c r="M42" s="20">
        <f>G42</f>
        <v>0.25057080950031657</v>
      </c>
      <c r="N42" s="20">
        <f>1-M42</f>
        <v>0.74942919049968348</v>
      </c>
      <c r="O42" s="24">
        <v>0.15</v>
      </c>
    </row>
    <row r="43" spans="2:15" ht="24" x14ac:dyDescent="0.55000000000000004">
      <c r="B43" s="29"/>
      <c r="C43" s="18" t="s">
        <v>136</v>
      </c>
      <c r="D43" s="19">
        <f>SUM(D41:D42)</f>
        <v>18</v>
      </c>
      <c r="E43" s="21">
        <f>SUM(E41:E42)</f>
        <v>1</v>
      </c>
      <c r="F43" s="23">
        <f>SUM(F41:F42)</f>
        <v>1888828934</v>
      </c>
      <c r="G43" s="21">
        <f>SUM(G41:G42)</f>
        <v>1</v>
      </c>
      <c r="H43" s="30"/>
      <c r="I43" s="31"/>
    </row>
    <row r="44" spans="2:15" ht="23.25" thickBot="1" x14ac:dyDescent="0.6">
      <c r="B44" s="35"/>
      <c r="C44" s="36"/>
      <c r="D44" s="36"/>
      <c r="E44" s="36"/>
      <c r="F44" s="36"/>
      <c r="G44" s="36"/>
      <c r="H44" s="37"/>
      <c r="I44" s="31"/>
    </row>
    <row r="45" spans="2:15" x14ac:dyDescent="0.55000000000000004">
      <c r="I45" s="31"/>
    </row>
    <row r="46" spans="2:15" x14ac:dyDescent="0.55000000000000004">
      <c r="I46" s="31"/>
    </row>
    <row r="47" spans="2:15" ht="23.25" thickBot="1" x14ac:dyDescent="0.6">
      <c r="C47" s="67" t="s">
        <v>143</v>
      </c>
      <c r="I47" s="31"/>
    </row>
    <row r="48" spans="2:15" x14ac:dyDescent="0.55000000000000004">
      <c r="B48" s="26"/>
      <c r="C48" s="67"/>
      <c r="D48" s="27"/>
      <c r="E48" s="27"/>
      <c r="F48" s="27"/>
      <c r="G48" s="27"/>
      <c r="H48" s="28"/>
    </row>
    <row r="49" spans="2:13" ht="26.25" x14ac:dyDescent="0.55000000000000004">
      <c r="B49" s="29"/>
      <c r="C49" s="66" t="s">
        <v>3</v>
      </c>
      <c r="D49" s="66"/>
      <c r="E49" s="66"/>
      <c r="F49" s="66"/>
      <c r="G49" s="66"/>
      <c r="H49" s="30"/>
    </row>
    <row r="50" spans="2:13" ht="24" x14ac:dyDescent="0.55000000000000004">
      <c r="B50" s="29"/>
      <c r="C50" s="48" t="s">
        <v>96</v>
      </c>
      <c r="D50" s="48" t="s">
        <v>157</v>
      </c>
      <c r="E50" s="48" t="s">
        <v>158</v>
      </c>
      <c r="F50" s="48" t="s">
        <v>115</v>
      </c>
      <c r="G50" s="48" t="s">
        <v>116</v>
      </c>
      <c r="H50" s="30"/>
      <c r="J50" s="8" t="s">
        <v>161</v>
      </c>
      <c r="K50" s="8" t="s">
        <v>162</v>
      </c>
      <c r="L50" s="8" t="s">
        <v>163</v>
      </c>
      <c r="M50" s="8" t="s">
        <v>164</v>
      </c>
    </row>
    <row r="51" spans="2:13" x14ac:dyDescent="0.55000000000000004">
      <c r="B51" s="29"/>
      <c r="C51" s="44" t="s">
        <v>166</v>
      </c>
      <c r="D51" s="31">
        <f>SUMIFS(database!$L:$L,database!$F:$F,calc!$C$49,database!$J:$J,calc!C51,database!$B:$B,listbox!$D$3,database!$A:$A,listbox!$B$3)</f>
        <v>387.87</v>
      </c>
      <c r="E51" s="32">
        <f>D51/$D$69</f>
        <v>0.65051572327044027</v>
      </c>
      <c r="F51" s="33">
        <f>SUMIFS(database!$M:$M,database!$F:$F,calc!$C$49,database!$J:$J,calc!C51,database!$B:$B,listbox!$D$3,database!$A:$A,listbox!$B$3)</f>
        <v>114758523</v>
      </c>
      <c r="G51" s="52">
        <f>F51/$F$69</f>
        <v>0.45545218465020104</v>
      </c>
      <c r="H51" s="30"/>
      <c r="I51" s="31"/>
      <c r="J51" s="42">
        <f>IFERROR(test3[[#This Row],[ساعت اضافه کاری]]/D5,"")</f>
        <v>129.29</v>
      </c>
      <c r="K51" s="24">
        <f>IFERROR(J51/$J$69,"")</f>
        <v>0.4515892420537897</v>
      </c>
      <c r="L51" s="22">
        <f>IFERROR(test3[[#This Row],[جمع پرداختی]]/D5,"")</f>
        <v>38252841</v>
      </c>
      <c r="M51" s="24">
        <f>IFERROR(L51/$L$69,"")</f>
        <v>0.26122943024373368</v>
      </c>
    </row>
    <row r="52" spans="2:13" x14ac:dyDescent="0.55000000000000004">
      <c r="B52" s="29"/>
      <c r="C52" s="44" t="s">
        <v>167</v>
      </c>
      <c r="D52" s="31">
        <f>SUMIFS(database!$L:$L,database!$F:$F,calc!$C$49,database!$J:$J,calc!C52,database!$B:$B,listbox!$D$3,database!$A:$A,listbox!$B$3)</f>
        <v>26.23</v>
      </c>
      <c r="E52" s="32">
        <f t="shared" ref="E52:E68" si="11">D52/$D$69</f>
        <v>4.3991614255765199E-2</v>
      </c>
      <c r="F52" s="33">
        <f>SUMIFS(database!$M:$M,database!$F:$F,calc!$C$49,database!$J:$J,calc!C52,database!$B:$B,listbox!$D$3,database!$A:$A,listbox!$B$3)</f>
        <v>8808001</v>
      </c>
      <c r="G52" s="52">
        <f t="shared" ref="G52:G68" si="12">F52/$F$69</f>
        <v>3.495708373530701E-2</v>
      </c>
      <c r="H52" s="30"/>
      <c r="I52" s="31"/>
      <c r="J52" s="42">
        <f>IFERROR(test3[[#This Row],[ساعت اضافه کاری]]/D6,"")</f>
        <v>26.23</v>
      </c>
      <c r="K52" s="24">
        <f t="shared" ref="K52:K68" si="13">IFERROR(J52/$J$69,"")</f>
        <v>9.1617184771218996E-2</v>
      </c>
      <c r="L52" s="22">
        <f>IFERROR(test3[[#This Row],[جمع پرداختی]]/D6,"")</f>
        <v>8808001</v>
      </c>
      <c r="M52" s="24">
        <f t="shared" ref="M52:M68" si="14">IFERROR(L52/$L$69,"")</f>
        <v>6.0150018212143691E-2</v>
      </c>
    </row>
    <row r="53" spans="2:13" hidden="1" x14ac:dyDescent="0.55000000000000004">
      <c r="B53" s="29"/>
      <c r="C53" s="44" t="s">
        <v>168</v>
      </c>
      <c r="D53" s="31">
        <f>SUMIFS(database!$L:$L,database!$F:$F,calc!$C$49,database!$J:$J,calc!C53,database!$B:$B,listbox!$D$3,database!$A:$A,listbox!$B$3)</f>
        <v>0</v>
      </c>
      <c r="E53" s="32">
        <f t="shared" si="11"/>
        <v>0</v>
      </c>
      <c r="F53" s="33">
        <f>SUMIFS(database!$M:$M,database!$F:$F,calc!$C$49,database!$J:$J,calc!C53,database!$B:$B,listbox!$D$3,database!$A:$A,listbox!$B$3)</f>
        <v>0</v>
      </c>
      <c r="G53" s="32">
        <f t="shared" si="12"/>
        <v>0</v>
      </c>
      <c r="H53" s="30"/>
      <c r="I53" s="31"/>
      <c r="J53" s="42" t="str">
        <f>IFERROR(test3[[#This Row],[ساعت اضافه کاری]]/D7,"")</f>
        <v/>
      </c>
      <c r="K53" s="24" t="str">
        <f t="shared" si="13"/>
        <v/>
      </c>
      <c r="L53" s="22" t="str">
        <f>IFERROR(test3[[#This Row],[جمع پرداختی]]/D7,"")</f>
        <v/>
      </c>
      <c r="M53" s="24" t="str">
        <f t="shared" si="14"/>
        <v/>
      </c>
    </row>
    <row r="54" spans="2:13" x14ac:dyDescent="0.55000000000000004">
      <c r="B54" s="29"/>
      <c r="C54" s="44" t="s">
        <v>169</v>
      </c>
      <c r="D54" s="31">
        <f>SUMIFS(database!$L:$L,database!$F:$F,calc!$C$49,database!$J:$J,calc!C54,database!$B:$B,listbox!$D$3,database!$A:$A,listbox!$B$3)</f>
        <v>26.88</v>
      </c>
      <c r="E54" s="32">
        <f t="shared" si="11"/>
        <v>4.5081761006289307E-2</v>
      </c>
      <c r="F54" s="33">
        <f>SUMIFS(database!$M:$M,database!$F:$F,calc!$C$49,database!$J:$J,calc!C54,database!$B:$B,listbox!$D$3,database!$A:$A,listbox!$B$3)</f>
        <v>7698409</v>
      </c>
      <c r="G54" s="52">
        <f t="shared" si="12"/>
        <v>3.0553348942812461E-2</v>
      </c>
      <c r="H54" s="30"/>
      <c r="I54" s="31"/>
      <c r="J54" s="42">
        <f>IFERROR(test3[[#This Row],[ساعت اضافه کاری]]/D8,"")</f>
        <v>26.88</v>
      </c>
      <c r="K54" s="24">
        <f t="shared" si="13"/>
        <v>9.388753056234718E-2</v>
      </c>
      <c r="L54" s="22">
        <f>IFERROR(test3[[#This Row],[جمع پرداختی]]/D8,"")</f>
        <v>7698409</v>
      </c>
      <c r="M54" s="24">
        <f t="shared" si="14"/>
        <v>5.2572591846269189E-2</v>
      </c>
    </row>
    <row r="55" spans="2:13" hidden="1" x14ac:dyDescent="0.55000000000000004">
      <c r="B55" s="29"/>
      <c r="C55" s="44" t="s">
        <v>170</v>
      </c>
      <c r="D55" s="31">
        <f>SUMIFS(database!$L:$L,database!$F:$F,calc!$C$49,database!$J:$J,calc!C55,database!$B:$B,listbox!$D$3,database!$A:$A,listbox!$B$3)</f>
        <v>0</v>
      </c>
      <c r="E55" s="32">
        <f t="shared" si="11"/>
        <v>0</v>
      </c>
      <c r="F55" s="33">
        <f>SUMIFS(database!$M:$M,database!$F:$F,calc!$C$49,database!$J:$J,calc!C55,database!$B:$B,listbox!$D$3,database!$A:$A,listbox!$B$3)</f>
        <v>0</v>
      </c>
      <c r="G55" s="32">
        <f t="shared" si="12"/>
        <v>0</v>
      </c>
      <c r="H55" s="30"/>
      <c r="I55" s="31"/>
      <c r="J55" s="42" t="str">
        <f>IFERROR(test3[[#This Row],[ساعت اضافه کاری]]/D9,"")</f>
        <v/>
      </c>
      <c r="K55" s="24" t="str">
        <f t="shared" si="13"/>
        <v/>
      </c>
      <c r="L55" s="22" t="str">
        <f>IFERROR(test3[[#This Row],[جمع پرداختی]]/D9,"")</f>
        <v/>
      </c>
      <c r="M55" s="24" t="str">
        <f t="shared" si="14"/>
        <v/>
      </c>
    </row>
    <row r="56" spans="2:13" x14ac:dyDescent="0.55000000000000004">
      <c r="B56" s="29"/>
      <c r="C56" s="44" t="s">
        <v>171</v>
      </c>
      <c r="D56" s="31">
        <f>SUMIFS(database!$L:$L,database!$F:$F,calc!$C$49,database!$J:$J,calc!C56,database!$B:$B,listbox!$D$3,database!$A:$A,listbox!$B$3)</f>
        <v>0</v>
      </c>
      <c r="E56" s="32">
        <f t="shared" si="11"/>
        <v>0</v>
      </c>
      <c r="F56" s="33">
        <f>SUMIFS(database!$M:$M,database!$F:$F,calc!$C$49,database!$J:$J,calc!C56,database!$B:$B,listbox!$D$3,database!$A:$A,listbox!$B$3)</f>
        <v>18648570</v>
      </c>
      <c r="G56" s="52">
        <f t="shared" si="12"/>
        <v>7.4012210379373736E-2</v>
      </c>
      <c r="H56" s="30"/>
      <c r="I56" s="31"/>
      <c r="J56" s="42">
        <f>IFERROR(test3[[#This Row],[ساعت اضافه کاری]]/D10,"")</f>
        <v>0</v>
      </c>
      <c r="K56" s="24">
        <f t="shared" si="13"/>
        <v>0</v>
      </c>
      <c r="L56" s="22">
        <f>IFERROR(test3[[#This Row],[جمع پرداختی]]/D10,"")</f>
        <v>18648570</v>
      </c>
      <c r="M56" s="24">
        <f t="shared" si="14"/>
        <v>0.12735146432549638</v>
      </c>
    </row>
    <row r="57" spans="2:13" x14ac:dyDescent="0.55000000000000004">
      <c r="B57" s="29"/>
      <c r="C57" s="44" t="s">
        <v>193</v>
      </c>
      <c r="D57" s="31">
        <f>SUMIFS(database!$L:$L,database!$F:$F,calc!$C$49,database!$J:$J,calc!C57,database!$B:$B,listbox!$D$3,database!$A:$A,listbox!$B$3)</f>
        <v>26.18</v>
      </c>
      <c r="E57" s="32">
        <f t="shared" si="11"/>
        <v>4.3907756813417187E-2</v>
      </c>
      <c r="F57" s="33">
        <f>SUMIFS(database!$M:$M,database!$F:$F,calc!$C$49,database!$J:$J,calc!C57,database!$B:$B,listbox!$D$3,database!$A:$A,listbox!$B$3)</f>
        <v>11219691</v>
      </c>
      <c r="G57" s="52">
        <f t="shared" si="12"/>
        <v>4.4528568715111454E-2</v>
      </c>
      <c r="H57" s="30"/>
      <c r="I57" s="31"/>
      <c r="J57" s="42">
        <f>IFERROR(test3[[#This Row],[ساعت اضافه کاری]]/D11,"")</f>
        <v>26.18</v>
      </c>
      <c r="K57" s="24">
        <f t="shared" si="13"/>
        <v>9.1442542787286057E-2</v>
      </c>
      <c r="L57" s="22">
        <f>IFERROR(test3[[#This Row],[جمع پرداختی]]/D11,"")</f>
        <v>11219691</v>
      </c>
      <c r="M57" s="24">
        <f t="shared" si="14"/>
        <v>7.661949833845666E-2</v>
      </c>
    </row>
    <row r="58" spans="2:13" hidden="1" x14ac:dyDescent="0.55000000000000004">
      <c r="B58" s="29"/>
      <c r="C58" s="44" t="s">
        <v>172</v>
      </c>
      <c r="D58" s="31">
        <f>SUMIFS(database!$L:$L,database!$F:$F,calc!$C$49,database!$J:$J,calc!C58,database!$B:$B,listbox!$D$3,database!$A:$A,listbox!$B$3)</f>
        <v>0</v>
      </c>
      <c r="E58" s="32">
        <f t="shared" si="11"/>
        <v>0</v>
      </c>
      <c r="F58" s="33">
        <f>SUMIFS(database!$M:$M,database!$F:$F,calc!$C$49,database!$J:$J,calc!C58,database!$B:$B,listbox!$D$3,database!$A:$A,listbox!$B$3)</f>
        <v>0</v>
      </c>
      <c r="G58" s="32">
        <f t="shared" si="12"/>
        <v>0</v>
      </c>
      <c r="H58" s="30"/>
      <c r="I58" s="31"/>
      <c r="J58" s="42" t="str">
        <f>IFERROR(test3[[#This Row],[ساعت اضافه کاری]]/D12,"")</f>
        <v/>
      </c>
      <c r="K58" s="24" t="str">
        <f t="shared" si="13"/>
        <v/>
      </c>
      <c r="L58" s="22" t="str">
        <f>IFERROR(test3[[#This Row],[جمع پرداختی]]/D12,"")</f>
        <v/>
      </c>
      <c r="M58" s="24" t="str">
        <f t="shared" si="14"/>
        <v/>
      </c>
    </row>
    <row r="59" spans="2:13" x14ac:dyDescent="0.55000000000000004">
      <c r="B59" s="29"/>
      <c r="C59" s="44" t="s">
        <v>173</v>
      </c>
      <c r="D59" s="31">
        <f>SUMIFS(database!$L:$L,database!$F:$F,calc!$C$49,database!$J:$J,calc!C59,database!$B:$B,listbox!$D$3,database!$A:$A,listbox!$B$3)</f>
        <v>5.18</v>
      </c>
      <c r="E59" s="32">
        <f t="shared" si="11"/>
        <v>8.6876310272536676E-3</v>
      </c>
      <c r="F59" s="33">
        <f>SUMIFS(database!$M:$M,database!$F:$F,calc!$C$49,database!$J:$J,calc!C59,database!$B:$B,listbox!$D$3,database!$A:$A,listbox!$B$3)</f>
        <v>2396036</v>
      </c>
      <c r="G59" s="32">
        <f t="shared" si="12"/>
        <v>9.5093575812275743E-3</v>
      </c>
      <c r="H59" s="30"/>
      <c r="I59" s="31"/>
      <c r="J59" s="42">
        <f>IFERROR(test3[[#This Row],[ساعت اضافه کاری]]/D13,"")</f>
        <v>5.18</v>
      </c>
      <c r="K59" s="24">
        <f t="shared" si="13"/>
        <v>1.8092909535452322E-2</v>
      </c>
      <c r="L59" s="22">
        <f>IFERROR(test3[[#This Row],[جمع پرداختی]]/D13,"")</f>
        <v>2396036</v>
      </c>
      <c r="M59" s="24">
        <f t="shared" si="14"/>
        <v>1.6362578641504685E-2</v>
      </c>
    </row>
    <row r="60" spans="2:13" hidden="1" x14ac:dyDescent="0.55000000000000004">
      <c r="B60" s="29"/>
      <c r="C60" s="44" t="s">
        <v>174</v>
      </c>
      <c r="D60" s="31">
        <f>SUMIFS(database!$L:$L,database!$F:$F,calc!$C$49,database!$J:$J,calc!C60,database!$B:$B,listbox!$D$3,database!$A:$A,listbox!$B$3)</f>
        <v>0</v>
      </c>
      <c r="E60" s="32">
        <f t="shared" si="11"/>
        <v>0</v>
      </c>
      <c r="F60" s="33">
        <f>SUMIFS(database!$M:$M,database!$F:$F,calc!$C$49,database!$J:$J,calc!C60,database!$B:$B,listbox!$D$3,database!$A:$A,listbox!$B$3)</f>
        <v>0</v>
      </c>
      <c r="G60" s="32">
        <f t="shared" si="12"/>
        <v>0</v>
      </c>
      <c r="H60" s="30"/>
      <c r="I60" s="31"/>
      <c r="J60" s="42" t="str">
        <f>IFERROR(test3[[#This Row],[ساعت اضافه کاری]]/D14,"")</f>
        <v/>
      </c>
      <c r="K60" s="24" t="str">
        <f t="shared" si="13"/>
        <v/>
      </c>
      <c r="L60" s="22" t="str">
        <f>IFERROR(test3[[#This Row],[جمع پرداختی]]/D14,"")</f>
        <v/>
      </c>
      <c r="M60" s="24" t="str">
        <f t="shared" si="14"/>
        <v/>
      </c>
    </row>
    <row r="61" spans="2:13" hidden="1" x14ac:dyDescent="0.55000000000000004">
      <c r="B61" s="29"/>
      <c r="C61" s="44" t="s">
        <v>175</v>
      </c>
      <c r="D61" s="31">
        <f>SUMIFS(database!$L:$L,database!$F:$F,calc!$C$49,database!$J:$J,calc!C61,database!$B:$B,listbox!$D$3,database!$A:$A,listbox!$B$3)</f>
        <v>0</v>
      </c>
      <c r="E61" s="32">
        <f t="shared" si="11"/>
        <v>0</v>
      </c>
      <c r="F61" s="33">
        <f>SUMIFS(database!$M:$M,database!$F:$F,calc!$C$49,database!$J:$J,calc!C61,database!$B:$B,listbox!$D$3,database!$A:$A,listbox!$B$3)</f>
        <v>0</v>
      </c>
      <c r="G61" s="32">
        <f t="shared" si="12"/>
        <v>0</v>
      </c>
      <c r="H61" s="30"/>
      <c r="I61" s="31"/>
      <c r="J61" s="42" t="str">
        <f>IFERROR(test3[[#This Row],[ساعت اضافه کاری]]/D15,"")</f>
        <v/>
      </c>
      <c r="K61" s="24" t="str">
        <f t="shared" si="13"/>
        <v/>
      </c>
      <c r="L61" s="22" t="str">
        <f>IFERROR(test3[[#This Row],[جمع پرداختی]]/D15,"")</f>
        <v/>
      </c>
      <c r="M61" s="24" t="str">
        <f t="shared" si="14"/>
        <v/>
      </c>
    </row>
    <row r="62" spans="2:13" x14ac:dyDescent="0.55000000000000004">
      <c r="B62" s="29"/>
      <c r="C62" s="44" t="s">
        <v>176</v>
      </c>
      <c r="D62" s="31">
        <f>SUMIFS(database!$L:$L,database!$F:$F,calc!$C$49,database!$J:$J,calc!C62,database!$B:$B,listbox!$D$3,database!$A:$A,listbox!$B$3)</f>
        <v>37</v>
      </c>
      <c r="E62" s="32">
        <f t="shared" si="11"/>
        <v>6.2054507337526203E-2</v>
      </c>
      <c r="F62" s="33">
        <f>SUMIFS(database!$M:$M,database!$F:$F,calc!$C$49,database!$J:$J,calc!C62,database!$B:$B,listbox!$D$3,database!$A:$A,listbox!$B$3)</f>
        <v>28149088</v>
      </c>
      <c r="G62" s="52">
        <f t="shared" si="12"/>
        <v>0.11171774688587408</v>
      </c>
      <c r="H62" s="30"/>
      <c r="I62" s="31"/>
      <c r="J62" s="42">
        <f>IFERROR(test3[[#This Row],[ساعت اضافه کاری]]/D16,"")</f>
        <v>18.5</v>
      </c>
      <c r="K62" s="24">
        <f t="shared" si="13"/>
        <v>6.4617534055186859E-2</v>
      </c>
      <c r="L62" s="22">
        <f>IFERROR(test3[[#This Row],[جمع پرداختی]]/D16,"")</f>
        <v>14074544</v>
      </c>
      <c r="M62" s="24">
        <f t="shared" si="14"/>
        <v>9.6115347617196867E-2</v>
      </c>
    </row>
    <row r="63" spans="2:13" x14ac:dyDescent="0.55000000000000004">
      <c r="B63" s="29"/>
      <c r="C63" s="44" t="s">
        <v>177</v>
      </c>
      <c r="D63" s="31">
        <f>SUMIFS(database!$L:$L,database!$F:$F,calc!$C$49,database!$J:$J,calc!C63,database!$B:$B,listbox!$D$3,database!$A:$A,listbox!$B$3)</f>
        <v>65.739999999999995</v>
      </c>
      <c r="E63" s="32">
        <f t="shared" si="11"/>
        <v>0.11025576519916142</v>
      </c>
      <c r="F63" s="33">
        <f>SUMIFS(database!$M:$M,database!$F:$F,calc!$C$49,database!$J:$J,calc!C63,database!$B:$B,listbox!$D$3,database!$A:$A,listbox!$B$3)</f>
        <v>29904027</v>
      </c>
      <c r="G63" s="52">
        <f t="shared" si="12"/>
        <v>0.11868272674604392</v>
      </c>
      <c r="H63" s="30"/>
      <c r="I63" s="31"/>
      <c r="J63" s="42">
        <f>IFERROR(test3[[#This Row],[ساعت اضافه کاری]]/D17,"")</f>
        <v>32.869999999999997</v>
      </c>
      <c r="K63" s="24">
        <f t="shared" si="13"/>
        <v>0.11480964023751308</v>
      </c>
      <c r="L63" s="22">
        <f>IFERROR(test3[[#This Row],[جمع پرداختی]]/D17,"")</f>
        <v>14952013.5</v>
      </c>
      <c r="M63" s="24">
        <f t="shared" si="14"/>
        <v>0.10210760470318048</v>
      </c>
    </row>
    <row r="64" spans="2:13" x14ac:dyDescent="0.55000000000000004">
      <c r="B64" s="29"/>
      <c r="C64" s="44" t="s">
        <v>178</v>
      </c>
      <c r="D64" s="31">
        <f>SUMIFS(database!$L:$L,database!$F:$F,calc!$C$49,database!$J:$J,calc!C64,database!$B:$B,listbox!$D$3,database!$A:$A,listbox!$B$3)</f>
        <v>21.17</v>
      </c>
      <c r="E64" s="32">
        <f t="shared" si="11"/>
        <v>3.5505241090146751E-2</v>
      </c>
      <c r="F64" s="33">
        <f>SUMIFS(database!$M:$M,database!$F:$F,calc!$C$49,database!$J:$J,calc!C64,database!$B:$B,listbox!$D$3,database!$A:$A,listbox!$B$3)</f>
        <v>6939191</v>
      </c>
      <c r="G64" s="52">
        <f t="shared" si="12"/>
        <v>2.7540174080621559E-2</v>
      </c>
      <c r="H64" s="30"/>
      <c r="I64" s="31"/>
      <c r="J64" s="42">
        <f>IFERROR(test3[[#This Row],[ساعت اضافه کاری]]/D18,"")</f>
        <v>21.17</v>
      </c>
      <c r="K64" s="24">
        <f t="shared" si="13"/>
        <v>7.3943415997205733E-2</v>
      </c>
      <c r="L64" s="22">
        <f>IFERROR(test3[[#This Row],[جمع پرداختی]]/D18,"")</f>
        <v>6939191</v>
      </c>
      <c r="M64" s="24">
        <f t="shared" si="14"/>
        <v>4.7387876662087526E-2</v>
      </c>
    </row>
    <row r="65" spans="2:13" hidden="1" x14ac:dyDescent="0.55000000000000004">
      <c r="B65" s="29"/>
      <c r="C65" s="44" t="s">
        <v>179</v>
      </c>
      <c r="D65" s="31">
        <f>SUMIFS(database!$L:$L,database!$F:$F,calc!$C$49,database!$J:$J,calc!C65,database!$B:$B,listbox!$D$3,database!$A:$A,listbox!$B$3)</f>
        <v>0</v>
      </c>
      <c r="E65" s="32">
        <f t="shared" si="11"/>
        <v>0</v>
      </c>
      <c r="F65" s="33">
        <f>SUMIFS(database!$M:$M,database!$F:$F,calc!$C$49,database!$J:$J,calc!C65,database!$B:$B,listbox!$D$3,database!$A:$A,listbox!$B$3)</f>
        <v>0</v>
      </c>
      <c r="G65" s="32">
        <f t="shared" si="12"/>
        <v>0</v>
      </c>
      <c r="H65" s="30"/>
      <c r="I65" s="31"/>
      <c r="J65" s="42" t="str">
        <f>IFERROR(test3[[#This Row],[ساعت اضافه کاری]]/D19,"")</f>
        <v/>
      </c>
      <c r="K65" s="24" t="str">
        <f t="shared" si="13"/>
        <v/>
      </c>
      <c r="L65" s="22" t="str">
        <f>IFERROR(test3[[#This Row],[جمع پرداختی]]/D19,"")</f>
        <v/>
      </c>
      <c r="M65" s="24" t="str">
        <f t="shared" si="14"/>
        <v/>
      </c>
    </row>
    <row r="66" spans="2:13" hidden="1" x14ac:dyDescent="0.55000000000000004">
      <c r="B66" s="29"/>
      <c r="C66" s="44" t="s">
        <v>180</v>
      </c>
      <c r="D66" s="31">
        <f>SUMIFS(database!$L:$L,database!$F:$F,calc!$C$49,database!$J:$J,calc!C66,database!$B:$B,listbox!$D$3,database!$A:$A,listbox!$B$3)</f>
        <v>0</v>
      </c>
      <c r="E66" s="32">
        <f t="shared" si="11"/>
        <v>0</v>
      </c>
      <c r="F66" s="33">
        <f>SUMIFS(database!$M:$M,database!$F:$F,calc!$C$49,database!$J:$J,calc!C66,database!$B:$B,listbox!$D$3,database!$A:$A,listbox!$B$3)</f>
        <v>0</v>
      </c>
      <c r="G66" s="32">
        <f t="shared" si="12"/>
        <v>0</v>
      </c>
      <c r="H66" s="30"/>
      <c r="I66" s="31"/>
      <c r="J66" s="42" t="str">
        <f>IFERROR(test3[[#This Row],[ساعت اضافه کاری]]/D20,"")</f>
        <v/>
      </c>
      <c r="K66" s="24" t="str">
        <f t="shared" si="13"/>
        <v/>
      </c>
      <c r="L66" s="22" t="str">
        <f>IFERROR(test3[[#This Row],[جمع پرداختی]]/D20,"")</f>
        <v/>
      </c>
      <c r="M66" s="24" t="str">
        <f t="shared" si="14"/>
        <v/>
      </c>
    </row>
    <row r="67" spans="2:13" x14ac:dyDescent="0.55000000000000004">
      <c r="B67" s="29"/>
      <c r="C67" s="44" t="s">
        <v>181</v>
      </c>
      <c r="D67" s="31">
        <f>SUMIFS(database!$L:$L,database!$F:$F,calc!$C$49,database!$J:$J,calc!C67,database!$B:$B,listbox!$D$3,database!$A:$A,listbox!$B$3)</f>
        <v>0</v>
      </c>
      <c r="E67" s="32">
        <f>D67/$D$69</f>
        <v>0</v>
      </c>
      <c r="F67" s="33">
        <f>SUMIFS(database!$M:$M,database!$F:$F,calc!$C$49,database!$J:$J,calc!C67,database!$B:$B,listbox!$D$3,database!$A:$A,listbox!$B$3)</f>
        <v>23444591</v>
      </c>
      <c r="G67" s="52">
        <f>F67/$F$69</f>
        <v>9.3046598283427207E-2</v>
      </c>
      <c r="H67" s="30"/>
      <c r="I67" s="31"/>
      <c r="J67" s="42">
        <f>IFERROR(test3[[#This Row],[ساعت اضافه کاری]]/D21,"")</f>
        <v>0</v>
      </c>
      <c r="K67" s="24">
        <f t="shared" si="13"/>
        <v>0</v>
      </c>
      <c r="L67" s="22">
        <f>IFERROR(test3[[#This Row],[جمع پرداختی]]/D21,"")</f>
        <v>23444591</v>
      </c>
      <c r="M67" s="24">
        <f t="shared" si="14"/>
        <v>0.1601035894099308</v>
      </c>
    </row>
    <row r="68" spans="2:13" hidden="1" x14ac:dyDescent="0.55000000000000004">
      <c r="B68" s="29"/>
      <c r="C68" s="44" t="s">
        <v>165</v>
      </c>
      <c r="D68" s="31">
        <f>SUMIFS(database!$L:$L,database!$F:$F,calc!$C$49,database!$J:$J,calc!C68,database!$B:$B,listbox!$D$3,database!$A:$A,listbox!$B$3)</f>
        <v>0</v>
      </c>
      <c r="E68" s="32">
        <f t="shared" si="11"/>
        <v>0</v>
      </c>
      <c r="F68" s="33">
        <f>SUMIFS(database!$M:$M,database!$F:$F,calc!$C$49,database!$J:$J,calc!C68,database!$B:$B,listbox!$D$3,database!$A:$A,listbox!$B$3)</f>
        <v>0</v>
      </c>
      <c r="G68" s="32">
        <f t="shared" si="12"/>
        <v>0</v>
      </c>
      <c r="H68" s="30"/>
      <c r="I68" s="31"/>
      <c r="J68" s="42" t="str">
        <f>IFERROR(test3[[#This Row],[ساعت اضافه کاری]]/D22,"")</f>
        <v/>
      </c>
      <c r="K68" s="24" t="str">
        <f t="shared" si="13"/>
        <v/>
      </c>
      <c r="L68" s="22" t="str">
        <f>IFERROR(test3[[#This Row],[جمع پرداختی]]/D22,"")</f>
        <v/>
      </c>
      <c r="M68" s="24" t="str">
        <f t="shared" si="14"/>
        <v/>
      </c>
    </row>
    <row r="69" spans="2:13" ht="24" x14ac:dyDescent="0.55000000000000004">
      <c r="B69" s="29"/>
      <c r="C69" s="51" t="s">
        <v>136</v>
      </c>
      <c r="D69" s="53">
        <f>SUM(D51:D68)</f>
        <v>596.25</v>
      </c>
      <c r="E69" s="49">
        <f>SUM(E51:E68)</f>
        <v>0.99999999999999989</v>
      </c>
      <c r="F69" s="50">
        <f>SUM(F51:F68)</f>
        <v>251966127</v>
      </c>
      <c r="G69" s="49">
        <f>SUM(G51:G68)</f>
        <v>1.0000000000000002</v>
      </c>
      <c r="H69" s="30"/>
      <c r="I69" s="31"/>
      <c r="J69" s="43">
        <f>SUM(J51:J68)</f>
        <v>286.3</v>
      </c>
      <c r="K69" s="21">
        <f>SUM(K51:K68)</f>
        <v>1</v>
      </c>
      <c r="L69" s="23">
        <f>SUM(L51:L68)</f>
        <v>146433887.5</v>
      </c>
      <c r="M69" s="21">
        <f>SUM(M51:M68)</f>
        <v>1</v>
      </c>
    </row>
    <row r="70" spans="2:13" x14ac:dyDescent="0.55000000000000004">
      <c r="B70" s="29"/>
      <c r="C70" s="31"/>
      <c r="D70" s="31"/>
      <c r="E70" s="31"/>
      <c r="F70" s="31"/>
      <c r="G70" s="31"/>
      <c r="H70" s="30"/>
      <c r="I70" s="31"/>
    </row>
    <row r="71" spans="2:13" x14ac:dyDescent="0.55000000000000004">
      <c r="B71" s="29"/>
      <c r="C71" s="31"/>
      <c r="D71" s="31"/>
      <c r="E71" s="31"/>
      <c r="F71" s="31"/>
      <c r="G71" s="31"/>
      <c r="H71" s="30"/>
      <c r="I71" s="31"/>
    </row>
    <row r="72" spans="2:13" ht="26.25" x14ac:dyDescent="0.55000000000000004">
      <c r="B72" s="29"/>
      <c r="C72" s="66" t="s">
        <v>4</v>
      </c>
      <c r="D72" s="66"/>
      <c r="E72" s="66"/>
      <c r="F72" s="66"/>
      <c r="G72" s="66"/>
      <c r="H72" s="30"/>
      <c r="I72" s="31"/>
    </row>
    <row r="73" spans="2:13" ht="24" x14ac:dyDescent="0.55000000000000004">
      <c r="B73" s="29"/>
      <c r="C73" s="48" t="s">
        <v>96</v>
      </c>
      <c r="D73" s="48" t="s">
        <v>157</v>
      </c>
      <c r="E73" s="48" t="s">
        <v>158</v>
      </c>
      <c r="F73" s="48" t="s">
        <v>115</v>
      </c>
      <c r="G73" s="48" t="s">
        <v>116</v>
      </c>
      <c r="H73" s="30"/>
      <c r="I73" s="31"/>
      <c r="J73" s="8" t="s">
        <v>161</v>
      </c>
      <c r="K73" s="8" t="s">
        <v>162</v>
      </c>
      <c r="L73" s="8" t="s">
        <v>163</v>
      </c>
      <c r="M73" s="8" t="s">
        <v>164</v>
      </c>
    </row>
    <row r="74" spans="2:13" hidden="1" x14ac:dyDescent="0.55000000000000004">
      <c r="B74" s="29"/>
      <c r="C74" s="44" t="s">
        <v>185</v>
      </c>
      <c r="D74" s="31">
        <f>SUMIFS(database!$L:$L,database!$F:$F,calc!$C$72,database!$J:$J,calc!C74,database!$B:$B,listbox!$D$3,database!$A:$A,listbox!$B$3)</f>
        <v>0</v>
      </c>
      <c r="E74" s="32">
        <f>D74/$D$82</f>
        <v>0</v>
      </c>
      <c r="F74" s="33">
        <f>SUMIFS(database!$M:$M,database!$F:$F,calc!$C$72,database!$J:$J,calc!C74,database!$B:$B,listbox!$D$3,database!$A:$A,listbox!$B$3)</f>
        <v>0</v>
      </c>
      <c r="G74" s="32">
        <f>F74/$F$82</f>
        <v>0</v>
      </c>
      <c r="H74" s="30"/>
      <c r="I74" s="31"/>
      <c r="J74" s="42" t="str">
        <f>IFERROR(test4[[#This Row],[ساعت اضافه کاری]]/D28,"")</f>
        <v/>
      </c>
      <c r="K74" s="24" t="str">
        <f>IFERROR(J74/$J$82,"")</f>
        <v/>
      </c>
      <c r="L74" s="22" t="str">
        <f>IFERROR(test4[[#This Row],[جمع پرداختی]]/D28,"")</f>
        <v/>
      </c>
      <c r="M74" s="24" t="str">
        <f>IFERROR(L74/$L$82,"")</f>
        <v/>
      </c>
    </row>
    <row r="75" spans="2:13" x14ac:dyDescent="0.55000000000000004">
      <c r="B75" s="29"/>
      <c r="C75" s="44" t="s">
        <v>186</v>
      </c>
      <c r="D75" s="31">
        <f>SUMIFS(database!$L:$L,database!$F:$F,calc!$C$72,database!$J:$J,calc!C75,database!$B:$B,listbox!$D$3,database!$A:$A,listbox!$B$3)</f>
        <v>25</v>
      </c>
      <c r="E75" s="32">
        <f t="shared" ref="E75:E81" si="15">D75/$D$82</f>
        <v>0.34115720524017468</v>
      </c>
      <c r="F75" s="33">
        <f>SUMIFS(database!$M:$M,database!$F:$F,calc!$C$72,database!$J:$J,calc!C75,database!$B:$B,listbox!$D$3,database!$A:$A,listbox!$B$3)</f>
        <v>10652340</v>
      </c>
      <c r="G75" s="32">
        <f t="shared" ref="G75:G81" si="16">F75/$F$82</f>
        <v>0.28049017437574431</v>
      </c>
      <c r="H75" s="30"/>
      <c r="I75" s="31"/>
      <c r="J75" s="42">
        <f>IFERROR(test4[[#This Row],[ساعت اضافه کاری]]/D29,"")</f>
        <v>25</v>
      </c>
      <c r="K75" s="24">
        <f t="shared" ref="K75:K81" si="17">IFERROR(J75/$J$82,"")</f>
        <v>0.34115720524017468</v>
      </c>
      <c r="L75" s="22">
        <f>IFERROR(test4[[#This Row],[جمع پرداختی]]/D29,"")</f>
        <v>10652340</v>
      </c>
      <c r="M75" s="24">
        <f t="shared" ref="M75:M81" si="18">IFERROR(L75/$L$82,"")</f>
        <v>0.28049017437574431</v>
      </c>
    </row>
    <row r="76" spans="2:13" hidden="1" x14ac:dyDescent="0.55000000000000004">
      <c r="B76" s="29"/>
      <c r="C76" s="44" t="s">
        <v>187</v>
      </c>
      <c r="D76" s="31">
        <f>SUMIFS(database!$L:$L,database!$F:$F,calc!$C$72,database!$J:$J,calc!C76,database!$B:$B,listbox!$D$3,database!$A:$A,listbox!$B$3)</f>
        <v>0</v>
      </c>
      <c r="E76" s="32">
        <f t="shared" si="15"/>
        <v>0</v>
      </c>
      <c r="F76" s="33">
        <f>SUMIFS(database!$M:$M,database!$F:$F,calc!$C$72,database!$J:$J,calc!C76,database!$B:$B,listbox!$D$3,database!$A:$A,listbox!$B$3)</f>
        <v>0</v>
      </c>
      <c r="G76" s="32">
        <f t="shared" si="16"/>
        <v>0</v>
      </c>
      <c r="H76" s="30"/>
      <c r="I76" s="31"/>
      <c r="J76" s="42" t="str">
        <f>IFERROR(test4[[#This Row],[ساعت اضافه کاری]]/D30,"")</f>
        <v/>
      </c>
      <c r="K76" s="24" t="str">
        <f t="shared" si="17"/>
        <v/>
      </c>
      <c r="L76" s="22" t="str">
        <f>IFERROR(test4[[#This Row],[جمع پرداختی]]/D30,"")</f>
        <v/>
      </c>
      <c r="M76" s="24" t="str">
        <f t="shared" si="18"/>
        <v/>
      </c>
    </row>
    <row r="77" spans="2:13" hidden="1" x14ac:dyDescent="0.55000000000000004">
      <c r="B77" s="29"/>
      <c r="C77" s="44" t="s">
        <v>188</v>
      </c>
      <c r="D77" s="31">
        <f>SUMIFS(database!$L:$L,database!$F:$F,calc!$C$72,database!$J:$J,calc!C77,database!$B:$B,listbox!$D$3,database!$A:$A,listbox!$B$3)</f>
        <v>0</v>
      </c>
      <c r="E77" s="32">
        <f t="shared" si="15"/>
        <v>0</v>
      </c>
      <c r="F77" s="33">
        <f>SUMIFS(database!$M:$M,database!$F:$F,calc!$C$72,database!$J:$J,calc!C77,database!$B:$B,listbox!$D$3,database!$A:$A,listbox!$B$3)</f>
        <v>0</v>
      </c>
      <c r="G77" s="32">
        <f t="shared" si="16"/>
        <v>0</v>
      </c>
      <c r="H77" s="30"/>
      <c r="I77" s="31"/>
      <c r="J77" s="42" t="str">
        <f>IFERROR(test4[[#This Row],[ساعت اضافه کاری]]/D31,"")</f>
        <v/>
      </c>
      <c r="K77" s="24" t="str">
        <f t="shared" si="17"/>
        <v/>
      </c>
      <c r="L77" s="22" t="str">
        <f>IFERROR(test4[[#This Row],[جمع پرداختی]]/D31,"")</f>
        <v/>
      </c>
      <c r="M77" s="24" t="str">
        <f t="shared" si="18"/>
        <v/>
      </c>
    </row>
    <row r="78" spans="2:13" hidden="1" x14ac:dyDescent="0.55000000000000004">
      <c r="B78" s="29"/>
      <c r="C78" s="44" t="s">
        <v>189</v>
      </c>
      <c r="D78" s="31">
        <f>SUMIFS(database!$L:$L,database!$F:$F,calc!$C$72,database!$J:$J,calc!C78,database!$B:$B,listbox!$D$3,database!$A:$A,listbox!$B$3)</f>
        <v>0</v>
      </c>
      <c r="E78" s="32">
        <f t="shared" si="15"/>
        <v>0</v>
      </c>
      <c r="F78" s="33">
        <f>SUMIFS(database!$M:$M,database!$F:$F,calc!$C$72,database!$J:$J,calc!C78,database!$B:$B,listbox!$D$3,database!$A:$A,listbox!$B$3)</f>
        <v>0</v>
      </c>
      <c r="G78" s="32">
        <f t="shared" si="16"/>
        <v>0</v>
      </c>
      <c r="H78" s="30"/>
      <c r="I78" s="31"/>
      <c r="J78" s="42">
        <f>IFERROR(test4[[#This Row],[ساعت اضافه کاری]]/D32,"")</f>
        <v>0</v>
      </c>
      <c r="K78" s="24">
        <f t="shared" si="17"/>
        <v>0</v>
      </c>
      <c r="L78" s="22">
        <f>IFERROR(test4[[#This Row],[جمع پرداختی]]/D32,"")</f>
        <v>0</v>
      </c>
      <c r="M78" s="24">
        <f t="shared" si="18"/>
        <v>0</v>
      </c>
    </row>
    <row r="79" spans="2:13" hidden="1" x14ac:dyDescent="0.55000000000000004">
      <c r="B79" s="29"/>
      <c r="C79" s="44" t="s">
        <v>192</v>
      </c>
      <c r="D79" s="31">
        <f>SUMIFS(database!$L:$L,database!$F:$F,calc!$C$72,database!$J:$J,calc!C79,database!$B:$B,listbox!$D$3,database!$A:$A,listbox!$B$3)</f>
        <v>0</v>
      </c>
      <c r="E79" s="32">
        <f t="shared" si="15"/>
        <v>0</v>
      </c>
      <c r="F79" s="33">
        <f>SUMIFS(database!$M:$M,database!$F:$F,calc!$C$72,database!$J:$J,calc!C79,database!$B:$B,listbox!$D$3,database!$A:$A,listbox!$B$3)</f>
        <v>0</v>
      </c>
      <c r="G79" s="32">
        <f t="shared" si="16"/>
        <v>0</v>
      </c>
      <c r="H79" s="30"/>
      <c r="I79" s="31"/>
      <c r="J79" s="42" t="str">
        <f>IFERROR(test4[[#This Row],[ساعت اضافه کاری]]/D33,"")</f>
        <v/>
      </c>
      <c r="K79" s="24" t="str">
        <f t="shared" si="17"/>
        <v/>
      </c>
      <c r="L79" s="22" t="str">
        <f>IFERROR(test4[[#This Row],[جمع پرداختی]]/D33,"")</f>
        <v/>
      </c>
      <c r="M79" s="24" t="str">
        <f t="shared" si="18"/>
        <v/>
      </c>
    </row>
    <row r="80" spans="2:13" x14ac:dyDescent="0.55000000000000004">
      <c r="B80" s="29"/>
      <c r="C80" s="44" t="s">
        <v>190</v>
      </c>
      <c r="D80" s="31">
        <f>SUMIFS(database!$L:$L,database!$F:$F,calc!$C$72,database!$J:$J,calc!C80,database!$B:$B,listbox!$D$3,database!$A:$A,listbox!$B$3)</f>
        <v>34.380000000000003</v>
      </c>
      <c r="E80" s="32">
        <f t="shared" si="15"/>
        <v>0.46915938864628826</v>
      </c>
      <c r="F80" s="33">
        <f>SUMIFS(database!$M:$M,database!$F:$F,calc!$C$72,database!$J:$J,calc!C80,database!$B:$B,listbox!$D$3,database!$A:$A,listbox!$B$3)</f>
        <v>21044974</v>
      </c>
      <c r="G80" s="32">
        <f t="shared" si="16"/>
        <v>0.55414194693306873</v>
      </c>
      <c r="H80" s="30"/>
      <c r="I80" s="31"/>
      <c r="J80" s="42">
        <f>IFERROR(test4[[#This Row],[ساعت اضافه کاری]]/D34,"")</f>
        <v>34.380000000000003</v>
      </c>
      <c r="K80" s="24">
        <f t="shared" si="17"/>
        <v>0.46915938864628826</v>
      </c>
      <c r="L80" s="22">
        <f>IFERROR(test4[[#This Row],[جمع پرداختی]]/D34,"")</f>
        <v>21044974</v>
      </c>
      <c r="M80" s="24">
        <f t="shared" si="18"/>
        <v>0.55414194693306873</v>
      </c>
    </row>
    <row r="81" spans="2:13" x14ac:dyDescent="0.55000000000000004">
      <c r="B81" s="29"/>
      <c r="C81" s="44" t="s">
        <v>191</v>
      </c>
      <c r="D81" s="31">
        <f>SUMIFS(database!$L:$L,database!$F:$F,calc!$C$72,database!$J:$J,calc!C81,database!$B:$B,listbox!$D$3,database!$A:$A,listbox!$B$3)</f>
        <v>13.9</v>
      </c>
      <c r="E81" s="32">
        <f t="shared" si="15"/>
        <v>0.18968340611353712</v>
      </c>
      <c r="F81" s="33">
        <f>SUMIFS(database!$M:$M,database!$F:$F,calc!$C$72,database!$J:$J,calc!C81,database!$B:$B,listbox!$D$3,database!$A:$A,listbox!$B$3)</f>
        <v>6280273</v>
      </c>
      <c r="G81" s="32">
        <f t="shared" si="16"/>
        <v>0.16536787869118699</v>
      </c>
      <c r="H81" s="30"/>
      <c r="I81" s="31"/>
      <c r="J81" s="42">
        <f>IFERROR(test4[[#This Row],[ساعت اضافه کاری]]/D35,"")</f>
        <v>13.9</v>
      </c>
      <c r="K81" s="24">
        <f t="shared" si="17"/>
        <v>0.18968340611353712</v>
      </c>
      <c r="L81" s="22">
        <f>IFERROR(test4[[#This Row],[جمع پرداختی]]/D35,"")</f>
        <v>6280273</v>
      </c>
      <c r="M81" s="24">
        <f t="shared" si="18"/>
        <v>0.16536787869118699</v>
      </c>
    </row>
    <row r="82" spans="2:13" ht="24" x14ac:dyDescent="0.55000000000000004">
      <c r="B82" s="29"/>
      <c r="C82" s="51" t="s">
        <v>136</v>
      </c>
      <c r="D82" s="53">
        <f>SUM(D74:D81)</f>
        <v>73.28</v>
      </c>
      <c r="E82" s="49">
        <f>SUM(E74:E81)</f>
        <v>1</v>
      </c>
      <c r="F82" s="50">
        <f t="shared" ref="F82" si="19">SUM(F74:F81)</f>
        <v>37977587</v>
      </c>
      <c r="G82" s="49">
        <f>SUM(G74:G81)</f>
        <v>1</v>
      </c>
      <c r="H82" s="30"/>
      <c r="I82" s="31"/>
      <c r="J82" s="43">
        <f>SUM(J74:J81)</f>
        <v>73.28</v>
      </c>
      <c r="K82" s="21">
        <f>SUM(K74:K81)</f>
        <v>1</v>
      </c>
      <c r="L82" s="23">
        <f>SUM(L74:L81)</f>
        <v>37977587</v>
      </c>
      <c r="M82" s="21">
        <f>SUM(M74:M81)</f>
        <v>1</v>
      </c>
    </row>
    <row r="83" spans="2:13" x14ac:dyDescent="0.55000000000000004">
      <c r="B83" s="29"/>
      <c r="C83" s="31"/>
      <c r="D83" s="31"/>
      <c r="E83" s="31"/>
      <c r="F83" s="31"/>
      <c r="G83" s="31"/>
      <c r="H83" s="30"/>
      <c r="I83" s="31"/>
    </row>
    <row r="84" spans="2:13" x14ac:dyDescent="0.55000000000000004">
      <c r="B84" s="29"/>
      <c r="C84" s="31"/>
      <c r="D84" s="31"/>
      <c r="E84" s="31"/>
      <c r="F84" s="31"/>
      <c r="G84" s="31"/>
      <c r="H84" s="30"/>
      <c r="I84" s="31"/>
    </row>
    <row r="85" spans="2:13" ht="26.25" x14ac:dyDescent="0.55000000000000004">
      <c r="B85" s="29"/>
      <c r="C85" s="66" t="s">
        <v>117</v>
      </c>
      <c r="D85" s="66"/>
      <c r="E85" s="66"/>
      <c r="F85" s="66"/>
      <c r="G85" s="66"/>
      <c r="H85" s="30"/>
      <c r="I85" s="31"/>
    </row>
    <row r="86" spans="2:13" ht="24" x14ac:dyDescent="0.55000000000000004">
      <c r="B86" s="29"/>
      <c r="C86" s="8" t="s">
        <v>96</v>
      </c>
      <c r="D86" s="8" t="s">
        <v>157</v>
      </c>
      <c r="E86" s="8" t="s">
        <v>158</v>
      </c>
      <c r="F86" s="8" t="s">
        <v>115</v>
      </c>
      <c r="G86" s="8" t="s">
        <v>116</v>
      </c>
      <c r="H86" s="30"/>
      <c r="I86" s="31"/>
    </row>
    <row r="87" spans="2:13" x14ac:dyDescent="0.55000000000000004">
      <c r="B87" s="29"/>
      <c r="C87" s="7" t="s">
        <v>3</v>
      </c>
      <c r="D87" s="31">
        <f>SUMIFS(database!$L:$L,database!$F:$F,calc!C87,database!$B:$B,listbox!$D$3,database!$A:$A,listbox!$B$3)</f>
        <v>596.25000000000011</v>
      </c>
      <c r="E87" s="34">
        <f>D87/$D$89</f>
        <v>0.89055008737472563</v>
      </c>
      <c r="F87" s="33">
        <f>SUMIFS(database!$M:$M,database!$F:$F,calc!C87,database!$B:$B,listbox!$D$3,database!$A:$A,listbox!$B$3)</f>
        <v>251966127</v>
      </c>
      <c r="G87" s="34">
        <f>F87/$F$89</f>
        <v>0.86901738107693549</v>
      </c>
      <c r="H87" s="30"/>
      <c r="I87" s="31"/>
    </row>
    <row r="88" spans="2:13" x14ac:dyDescent="0.55000000000000004">
      <c r="B88" s="29"/>
      <c r="C88" s="7" t="s">
        <v>4</v>
      </c>
      <c r="D88" s="31">
        <f>SUMIFS(database!$L:$L,database!$F:$F,calc!C88,database!$B:$B,listbox!$D$3,database!$A:$A,listbox!$B$3)</f>
        <v>73.28</v>
      </c>
      <c r="E88" s="34">
        <f>D88/$D$89</f>
        <v>0.10944991262527444</v>
      </c>
      <c r="F88" s="33">
        <f>SUMIFS(database!$M:$M,database!$F:$F,calc!C88,database!$B:$B,listbox!$D$3,database!$A:$A,listbox!$B$3)</f>
        <v>37977587</v>
      </c>
      <c r="G88" s="34">
        <f>F88/$F$89</f>
        <v>0.13098261892306451</v>
      </c>
      <c r="H88" s="30"/>
      <c r="I88" s="31"/>
    </row>
    <row r="89" spans="2:13" ht="24" x14ac:dyDescent="0.55000000000000004">
      <c r="B89" s="29"/>
      <c r="C89" s="18" t="s">
        <v>136</v>
      </c>
      <c r="D89" s="54">
        <f>SUM(D87:D88)</f>
        <v>669.53000000000009</v>
      </c>
      <c r="E89" s="21">
        <f>SUM(E87:E88)</f>
        <v>1</v>
      </c>
      <c r="F89" s="23">
        <f>SUM(F87:F88)</f>
        <v>289943714</v>
      </c>
      <c r="G89" s="21">
        <f>SUM(G87:G88)</f>
        <v>1</v>
      </c>
      <c r="H89" s="30"/>
      <c r="I89" s="31"/>
    </row>
    <row r="90" spans="2:13" ht="23.25" thickBot="1" x14ac:dyDescent="0.6">
      <c r="B90" s="35"/>
      <c r="C90" s="36"/>
      <c r="D90" s="36"/>
      <c r="E90" s="36"/>
      <c r="F90" s="36"/>
      <c r="G90" s="36"/>
      <c r="H90" s="37"/>
      <c r="I90" s="31"/>
    </row>
    <row r="91" spans="2:13" x14ac:dyDescent="0.55000000000000004">
      <c r="I91" s="31"/>
    </row>
    <row r="92" spans="2:13" x14ac:dyDescent="0.55000000000000004">
      <c r="I92" s="31"/>
    </row>
    <row r="93" spans="2:13" ht="23.25" thickBot="1" x14ac:dyDescent="0.6">
      <c r="C93" s="67" t="s">
        <v>144</v>
      </c>
      <c r="I93" s="31"/>
    </row>
    <row r="94" spans="2:13" x14ac:dyDescent="0.55000000000000004">
      <c r="B94" s="26"/>
      <c r="C94" s="67"/>
      <c r="D94" s="27"/>
      <c r="E94" s="27"/>
      <c r="F94" s="27"/>
      <c r="G94" s="27"/>
      <c r="H94" s="28"/>
    </row>
    <row r="95" spans="2:13" ht="26.25" x14ac:dyDescent="0.55000000000000004">
      <c r="B95" s="29"/>
      <c r="C95" s="66" t="s">
        <v>3</v>
      </c>
      <c r="D95" s="66"/>
      <c r="E95" s="66"/>
      <c r="F95" s="66"/>
      <c r="G95" s="66"/>
      <c r="H95" s="30"/>
    </row>
    <row r="96" spans="2:13" ht="24" x14ac:dyDescent="0.55000000000000004">
      <c r="B96" s="29"/>
      <c r="C96" s="48" t="s">
        <v>96</v>
      </c>
      <c r="D96" s="48" t="s">
        <v>159</v>
      </c>
      <c r="E96" s="48" t="s">
        <v>158</v>
      </c>
      <c r="F96" s="48" t="s">
        <v>115</v>
      </c>
      <c r="G96" s="48" t="s">
        <v>116</v>
      </c>
      <c r="H96" s="30"/>
      <c r="J96" s="8" t="s">
        <v>161</v>
      </c>
      <c r="K96" s="8" t="s">
        <v>162</v>
      </c>
      <c r="L96" s="8" t="s">
        <v>163</v>
      </c>
      <c r="M96" s="8" t="s">
        <v>164</v>
      </c>
    </row>
    <row r="97" spans="2:13" x14ac:dyDescent="0.55000000000000004">
      <c r="B97" s="29"/>
      <c r="C97" s="44" t="s">
        <v>166</v>
      </c>
      <c r="D97" s="31">
        <f>SUMIFS(database!$N:$N,database!$F:$F,calc!$C$95,database!$J:$J,C97,database!$B:$B,listbox!$D$3,database!$A:$A,listbox!$B$3)</f>
        <v>236.70999999999998</v>
      </c>
      <c r="E97" s="32">
        <f t="shared" ref="E97:E114" si="20">D97/$D$115</f>
        <v>0.67087064958621467</v>
      </c>
      <c r="F97" s="33">
        <f>SUMIFS(database!$O:$O,database!$F:$F,$C$95,database!$J:$J,calc!C97,database!$B:$B,listbox!$D$3,database!$A:$A,listbox!$B$3)</f>
        <v>46228609</v>
      </c>
      <c r="G97" s="32">
        <f t="shared" ref="G97:G114" si="21">F97/$F$115</f>
        <v>0.87576363089530929</v>
      </c>
      <c r="H97" s="30"/>
      <c r="I97" s="31"/>
      <c r="J97" s="42">
        <f t="shared" ref="J97:J114" si="22">IFERROR(D97/D5,"")</f>
        <v>78.903333333333322</v>
      </c>
      <c r="K97" s="24">
        <f>IFERROR(J97/$J$115,"")</f>
        <v>0.47558390677582996</v>
      </c>
      <c r="L97" s="22">
        <f t="shared" ref="L97:L114" si="23">IFERROR(F97/D5,"")</f>
        <v>15409536.333333334</v>
      </c>
      <c r="M97" s="24">
        <f>IFERROR(L97/$L$115,"")</f>
        <v>0.72865284183750079</v>
      </c>
    </row>
    <row r="98" spans="2:13" x14ac:dyDescent="0.55000000000000004">
      <c r="B98" s="29"/>
      <c r="C98" s="44" t="s">
        <v>167</v>
      </c>
      <c r="D98" s="31">
        <f>SUMIFS(database!$N:$N,database!$F:$F,calc!$C$95,database!$J:$J,C98,database!$B:$B,listbox!$D$3,database!$A:$A,listbox!$B$3)</f>
        <v>16.73</v>
      </c>
      <c r="E98" s="32">
        <f t="shared" si="20"/>
        <v>4.741525904092507E-2</v>
      </c>
      <c r="F98" s="33">
        <f>SUMIFS(database!$O:$O,database!$F:$F,$C$95,database!$J:$J,calc!C98,database!$B:$B,listbox!$D$3,database!$A:$A,listbox!$B$3)</f>
        <v>1605234</v>
      </c>
      <c r="G98" s="32">
        <f t="shared" si="21"/>
        <v>3.0409860618488455E-2</v>
      </c>
      <c r="H98" s="30"/>
      <c r="I98" s="31"/>
      <c r="J98" s="42">
        <f t="shared" si="22"/>
        <v>16.73</v>
      </c>
      <c r="K98" s="24">
        <f t="shared" ref="K98:K114" si="24">IFERROR(J98/$J$115,"")</f>
        <v>0.10083881661560098</v>
      </c>
      <c r="L98" s="22">
        <f t="shared" si="23"/>
        <v>1605234</v>
      </c>
      <c r="M98" s="24">
        <f t="shared" ref="M98:M114" si="25">IFERROR(L98/$L$115,"")</f>
        <v>7.590483520156395E-2</v>
      </c>
    </row>
    <row r="99" spans="2:13" hidden="1" x14ac:dyDescent="0.55000000000000004">
      <c r="B99" s="29"/>
      <c r="C99" s="44" t="s">
        <v>168</v>
      </c>
      <c r="D99" s="31">
        <f>SUMIFS(database!$N:$N,database!$F:$F,calc!$C$95,database!$J:$J,C99,database!$B:$B,listbox!$D$3,database!$A:$A,listbox!$B$3)</f>
        <v>0</v>
      </c>
      <c r="E99" s="32">
        <f t="shared" si="20"/>
        <v>0</v>
      </c>
      <c r="F99" s="33">
        <f>SUMIFS(database!$O:$O,database!$F:$F,$C$95,database!$J:$J,calc!C99,database!$B:$B,listbox!$D$3,database!$A:$A,listbox!$B$3)</f>
        <v>0</v>
      </c>
      <c r="G99" s="32">
        <f t="shared" si="21"/>
        <v>0</v>
      </c>
      <c r="H99" s="30"/>
      <c r="I99" s="31"/>
      <c r="J99" s="42" t="str">
        <f t="shared" si="22"/>
        <v/>
      </c>
      <c r="K99" s="24" t="str">
        <f t="shared" si="24"/>
        <v/>
      </c>
      <c r="L99" s="22" t="str">
        <f t="shared" si="23"/>
        <v/>
      </c>
      <c r="M99" s="24" t="str">
        <f t="shared" si="25"/>
        <v/>
      </c>
    </row>
    <row r="100" spans="2:13" hidden="1" x14ac:dyDescent="0.55000000000000004">
      <c r="B100" s="29"/>
      <c r="C100" s="44" t="s">
        <v>169</v>
      </c>
      <c r="D100" s="31">
        <f>SUMIFS(database!$N:$N,database!$F:$F,calc!$C$95,database!$J:$J,C100,database!$B:$B,listbox!$D$3,database!$A:$A,listbox!$B$3)</f>
        <v>0</v>
      </c>
      <c r="E100" s="32">
        <f t="shared" si="20"/>
        <v>0</v>
      </c>
      <c r="F100" s="33">
        <f>SUMIFS(database!$O:$O,database!$F:$F,$C$95,database!$J:$J,calc!C100,database!$B:$B,listbox!$D$3,database!$A:$A,listbox!$B$3)</f>
        <v>0</v>
      </c>
      <c r="G100" s="32">
        <f t="shared" si="21"/>
        <v>0</v>
      </c>
      <c r="H100" s="30"/>
      <c r="I100" s="31"/>
      <c r="J100" s="42">
        <f t="shared" si="22"/>
        <v>0</v>
      </c>
      <c r="K100" s="24">
        <f t="shared" si="24"/>
        <v>0</v>
      </c>
      <c r="L100" s="22">
        <f t="shared" si="23"/>
        <v>0</v>
      </c>
      <c r="M100" s="24">
        <f t="shared" si="25"/>
        <v>0</v>
      </c>
    </row>
    <row r="101" spans="2:13" hidden="1" x14ac:dyDescent="0.55000000000000004">
      <c r="B101" s="29"/>
      <c r="C101" s="44" t="s">
        <v>170</v>
      </c>
      <c r="D101" s="31">
        <f>SUMIFS(database!$N:$N,database!$F:$F,calc!$C$95,database!$J:$J,C101,database!$B:$B,listbox!$D$3,database!$A:$A,listbox!$B$3)</f>
        <v>0</v>
      </c>
      <c r="E101" s="32">
        <f t="shared" si="20"/>
        <v>0</v>
      </c>
      <c r="F101" s="33">
        <f>SUMIFS(database!$O:$O,database!$F:$F,$C$95,database!$J:$J,calc!C101,database!$B:$B,listbox!$D$3,database!$A:$A,listbox!$B$3)</f>
        <v>0</v>
      </c>
      <c r="G101" s="32">
        <f t="shared" si="21"/>
        <v>0</v>
      </c>
      <c r="H101" s="30"/>
      <c r="I101" s="31"/>
      <c r="J101" s="42" t="str">
        <f t="shared" si="22"/>
        <v/>
      </c>
      <c r="K101" s="24" t="str">
        <f t="shared" si="24"/>
        <v/>
      </c>
      <c r="L101" s="22" t="str">
        <f t="shared" si="23"/>
        <v/>
      </c>
      <c r="M101" s="24" t="str">
        <f t="shared" si="25"/>
        <v/>
      </c>
    </row>
    <row r="102" spans="2:13" hidden="1" x14ac:dyDescent="0.55000000000000004">
      <c r="B102" s="29"/>
      <c r="C102" s="44" t="s">
        <v>171</v>
      </c>
      <c r="D102" s="31">
        <f>SUMIFS(database!$N:$N,database!$F:$F,calc!$C$95,database!$J:$J,C102,database!$B:$B,listbox!$D$3,database!$A:$A,listbox!$B$3)</f>
        <v>27.4</v>
      </c>
      <c r="E102" s="32">
        <f t="shared" si="20"/>
        <v>7.7655594603786418E-2</v>
      </c>
      <c r="F102" s="33">
        <f>SUMIFS(database!$O:$O,database!$F:$F,$C$95,database!$J:$J,calc!C102,database!$B:$B,listbox!$D$3,database!$A:$A,listbox!$B$3)</f>
        <v>0</v>
      </c>
      <c r="G102" s="32">
        <f t="shared" si="21"/>
        <v>0</v>
      </c>
      <c r="H102" s="30"/>
      <c r="I102" s="31"/>
      <c r="J102" s="42">
        <f t="shared" si="22"/>
        <v>27.4</v>
      </c>
      <c r="K102" s="24">
        <f t="shared" si="24"/>
        <v>0.16515143904766688</v>
      </c>
      <c r="L102" s="22">
        <f t="shared" si="23"/>
        <v>0</v>
      </c>
      <c r="M102" s="24">
        <f t="shared" si="25"/>
        <v>0</v>
      </c>
    </row>
    <row r="103" spans="2:13" hidden="1" x14ac:dyDescent="0.55000000000000004">
      <c r="B103" s="29"/>
      <c r="C103" s="44" t="s">
        <v>193</v>
      </c>
      <c r="D103" s="31">
        <f>SUMIFS(database!$N:$N,database!$F:$F,calc!$C$95,database!$J:$J,C103,database!$B:$B,listbox!$D$3,database!$A:$A,listbox!$B$3)</f>
        <v>0</v>
      </c>
      <c r="E103" s="32">
        <f t="shared" si="20"/>
        <v>0</v>
      </c>
      <c r="F103" s="33">
        <f>SUMIFS(database!$O:$O,database!$F:$F,$C$95,database!$J:$J,calc!C103,database!$B:$B,listbox!$D$3,database!$A:$A,listbox!$B$3)</f>
        <v>0</v>
      </c>
      <c r="G103" s="32">
        <f t="shared" si="21"/>
        <v>0</v>
      </c>
      <c r="H103" s="30"/>
      <c r="I103" s="31"/>
      <c r="J103" s="42">
        <f t="shared" si="22"/>
        <v>0</v>
      </c>
      <c r="K103" s="24">
        <f t="shared" si="24"/>
        <v>0</v>
      </c>
      <c r="L103" s="22">
        <f t="shared" si="23"/>
        <v>0</v>
      </c>
      <c r="M103" s="24">
        <f t="shared" si="25"/>
        <v>0</v>
      </c>
    </row>
    <row r="104" spans="2:13" hidden="1" x14ac:dyDescent="0.55000000000000004">
      <c r="B104" s="29"/>
      <c r="C104" s="44" t="s">
        <v>172</v>
      </c>
      <c r="D104" s="31">
        <f>SUMIFS(database!$N:$N,database!$F:$F,calc!$C$95,database!$J:$J,C104,database!$B:$B,listbox!$D$3,database!$A:$A,listbox!$B$3)</f>
        <v>0</v>
      </c>
      <c r="E104" s="32">
        <f t="shared" si="20"/>
        <v>0</v>
      </c>
      <c r="F104" s="33">
        <f>SUMIFS(database!$O:$O,database!$F:$F,$C$95,database!$J:$J,calc!C104,database!$B:$B,listbox!$D$3,database!$A:$A,listbox!$B$3)</f>
        <v>0</v>
      </c>
      <c r="G104" s="32">
        <f t="shared" si="21"/>
        <v>0</v>
      </c>
      <c r="H104" s="30"/>
      <c r="I104" s="31"/>
      <c r="J104" s="42" t="str">
        <f t="shared" si="22"/>
        <v/>
      </c>
      <c r="K104" s="24" t="str">
        <f t="shared" si="24"/>
        <v/>
      </c>
      <c r="L104" s="22" t="str">
        <f t="shared" si="23"/>
        <v/>
      </c>
      <c r="M104" s="24" t="str">
        <f t="shared" si="25"/>
        <v/>
      </c>
    </row>
    <row r="105" spans="2:13" hidden="1" x14ac:dyDescent="0.55000000000000004">
      <c r="B105" s="29"/>
      <c r="C105" s="44" t="s">
        <v>173</v>
      </c>
      <c r="D105" s="31">
        <f>SUMIFS(database!$N:$N,database!$F:$F,calc!$C$95,database!$J:$J,C105,database!$B:$B,listbox!$D$3,database!$A:$A,listbox!$B$3)</f>
        <v>0</v>
      </c>
      <c r="E105" s="32">
        <f t="shared" si="20"/>
        <v>0</v>
      </c>
      <c r="F105" s="33">
        <f>SUMIFS(database!$O:$O,database!$F:$F,$C$95,database!$J:$J,calc!C105,database!$B:$B,listbox!$D$3,database!$A:$A,listbox!$B$3)</f>
        <v>0</v>
      </c>
      <c r="G105" s="32">
        <f t="shared" si="21"/>
        <v>0</v>
      </c>
      <c r="H105" s="30"/>
      <c r="I105" s="31"/>
      <c r="J105" s="42">
        <f t="shared" si="22"/>
        <v>0</v>
      </c>
      <c r="K105" s="24">
        <f t="shared" si="24"/>
        <v>0</v>
      </c>
      <c r="L105" s="22">
        <f t="shared" si="23"/>
        <v>0</v>
      </c>
      <c r="M105" s="24">
        <f t="shared" si="25"/>
        <v>0</v>
      </c>
    </row>
    <row r="106" spans="2:13" hidden="1" x14ac:dyDescent="0.55000000000000004">
      <c r="B106" s="29"/>
      <c r="C106" s="44" t="s">
        <v>174</v>
      </c>
      <c r="D106" s="31">
        <f>SUMIFS(database!$N:$N,database!$F:$F,calc!$C$95,database!$J:$J,C106,database!$B:$B,listbox!$D$3,database!$A:$A,listbox!$B$3)</f>
        <v>0</v>
      </c>
      <c r="E106" s="32">
        <f t="shared" si="20"/>
        <v>0</v>
      </c>
      <c r="F106" s="33">
        <f>SUMIFS(database!$O:$O,database!$F:$F,$C$95,database!$J:$J,calc!C106,database!$B:$B,listbox!$D$3,database!$A:$A,listbox!$B$3)</f>
        <v>0</v>
      </c>
      <c r="G106" s="32">
        <f t="shared" si="21"/>
        <v>0</v>
      </c>
      <c r="H106" s="30"/>
      <c r="I106" s="31"/>
      <c r="J106" s="42" t="str">
        <f t="shared" si="22"/>
        <v/>
      </c>
      <c r="K106" s="24" t="str">
        <f t="shared" si="24"/>
        <v/>
      </c>
      <c r="L106" s="22" t="str">
        <f t="shared" si="23"/>
        <v/>
      </c>
      <c r="M106" s="24" t="str">
        <f t="shared" si="25"/>
        <v/>
      </c>
    </row>
    <row r="107" spans="2:13" hidden="1" x14ac:dyDescent="0.55000000000000004">
      <c r="B107" s="29"/>
      <c r="C107" s="44" t="s">
        <v>175</v>
      </c>
      <c r="D107" s="31">
        <f>SUMIFS(database!$N:$N,database!$F:$F,calc!$C$95,database!$J:$J,C107,database!$B:$B,listbox!$D$3,database!$A:$A,listbox!$B$3)</f>
        <v>0</v>
      </c>
      <c r="E107" s="32">
        <f t="shared" si="20"/>
        <v>0</v>
      </c>
      <c r="F107" s="33">
        <f>SUMIFS(database!$O:$O,database!$F:$F,$C$95,database!$J:$J,calc!C107,database!$B:$B,listbox!$D$3,database!$A:$A,listbox!$B$3)</f>
        <v>0</v>
      </c>
      <c r="G107" s="32">
        <f t="shared" si="21"/>
        <v>0</v>
      </c>
      <c r="H107" s="30"/>
      <c r="I107" s="31"/>
      <c r="J107" s="42" t="str">
        <f t="shared" si="22"/>
        <v/>
      </c>
      <c r="K107" s="24" t="str">
        <f t="shared" si="24"/>
        <v/>
      </c>
      <c r="L107" s="22" t="str">
        <f t="shared" si="23"/>
        <v/>
      </c>
      <c r="M107" s="24" t="str">
        <f t="shared" si="25"/>
        <v/>
      </c>
    </row>
    <row r="108" spans="2:13" x14ac:dyDescent="0.55000000000000004">
      <c r="B108" s="29"/>
      <c r="C108" s="44" t="s">
        <v>176</v>
      </c>
      <c r="D108" s="31">
        <f>SUMIFS(database!$N:$N,database!$F:$F,calc!$C$95,database!$J:$J,C108,database!$B:$B,listbox!$D$3,database!$A:$A,listbox!$B$3)</f>
        <v>50.089999999999996</v>
      </c>
      <c r="E108" s="32">
        <f t="shared" si="20"/>
        <v>0.14196236254392927</v>
      </c>
      <c r="F108" s="33">
        <f>SUMIFS(database!$O:$O,database!$F:$F,$C$95,database!$J:$J,calc!C108,database!$B:$B,listbox!$D$3,database!$A:$A,listbox!$B$3)</f>
        <v>587576</v>
      </c>
      <c r="G108" s="32">
        <f t="shared" si="21"/>
        <v>1.1131152382000986E-2</v>
      </c>
      <c r="H108" s="30"/>
      <c r="I108" s="31"/>
      <c r="J108" s="42">
        <f t="shared" si="22"/>
        <v>25.044999999999998</v>
      </c>
      <c r="K108" s="24">
        <f t="shared" si="24"/>
        <v>0.1509568536842634</v>
      </c>
      <c r="L108" s="22">
        <f t="shared" si="23"/>
        <v>293788</v>
      </c>
      <c r="M108" s="24">
        <f t="shared" si="25"/>
        <v>1.3892011833911486E-2</v>
      </c>
    </row>
    <row r="109" spans="2:13" x14ac:dyDescent="0.55000000000000004">
      <c r="B109" s="29"/>
      <c r="C109" s="44" t="s">
        <v>177</v>
      </c>
      <c r="D109" s="31">
        <f>SUMIFS(database!$N:$N,database!$F:$F,calc!$C$95,database!$J:$J,C109,database!$B:$B,listbox!$D$3,database!$A:$A,listbox!$B$3)</f>
        <v>8.16</v>
      </c>
      <c r="E109" s="32">
        <f t="shared" si="20"/>
        <v>2.3126629633828368E-2</v>
      </c>
      <c r="F109" s="33">
        <f>SUMIFS(database!$O:$O,database!$F:$F,$C$95,database!$J:$J,calc!C109,database!$B:$B,listbox!$D$3,database!$A:$A,listbox!$B$3)</f>
        <v>1051573</v>
      </c>
      <c r="G109" s="32">
        <f t="shared" si="21"/>
        <v>1.9921200497974599E-2</v>
      </c>
      <c r="H109" s="30"/>
      <c r="I109" s="31"/>
      <c r="J109" s="42">
        <f t="shared" si="22"/>
        <v>4.08</v>
      </c>
      <c r="K109" s="24">
        <f t="shared" si="24"/>
        <v>2.4591893113667187E-2</v>
      </c>
      <c r="L109" s="22">
        <f t="shared" si="23"/>
        <v>525786.5</v>
      </c>
      <c r="M109" s="24">
        <f t="shared" si="25"/>
        <v>2.4862255368193739E-2</v>
      </c>
    </row>
    <row r="110" spans="2:13" hidden="1" x14ac:dyDescent="0.55000000000000004">
      <c r="B110" s="29"/>
      <c r="C110" s="44" t="s">
        <v>178</v>
      </c>
      <c r="D110" s="31">
        <f>SUMIFS(database!$N:$N,database!$F:$F,calc!$C$95,database!$J:$J,C110,database!$B:$B,listbox!$D$3,database!$A:$A,listbox!$B$3)</f>
        <v>0</v>
      </c>
      <c r="E110" s="32">
        <f t="shared" si="20"/>
        <v>0</v>
      </c>
      <c r="F110" s="33">
        <f>SUMIFS(database!$O:$O,database!$F:$F,$C$95,database!$J:$J,calc!C110,database!$B:$B,listbox!$D$3,database!$A:$A,listbox!$B$3)</f>
        <v>0</v>
      </c>
      <c r="G110" s="32">
        <f t="shared" si="21"/>
        <v>0</v>
      </c>
      <c r="H110" s="30"/>
      <c r="I110" s="31"/>
      <c r="J110" s="42">
        <f t="shared" si="22"/>
        <v>0</v>
      </c>
      <c r="K110" s="24">
        <f t="shared" si="24"/>
        <v>0</v>
      </c>
      <c r="L110" s="22">
        <f t="shared" si="23"/>
        <v>0</v>
      </c>
      <c r="M110" s="24">
        <f t="shared" si="25"/>
        <v>0</v>
      </c>
    </row>
    <row r="111" spans="2:13" hidden="1" x14ac:dyDescent="0.55000000000000004">
      <c r="B111" s="29"/>
      <c r="C111" s="44" t="s">
        <v>179</v>
      </c>
      <c r="D111" s="31">
        <f>SUMIFS(database!$N:$N,database!$F:$F,calc!$C$95,database!$J:$J,C111,database!$B:$B,listbox!$D$3,database!$A:$A,listbox!$B$3)</f>
        <v>0</v>
      </c>
      <c r="E111" s="32">
        <f t="shared" si="20"/>
        <v>0</v>
      </c>
      <c r="F111" s="33">
        <f>SUMIFS(database!$O:$O,database!$F:$F,$C$95,database!$J:$J,calc!C111,database!$B:$B,listbox!$D$3,database!$A:$A,listbox!$B$3)</f>
        <v>0</v>
      </c>
      <c r="G111" s="32">
        <f t="shared" si="21"/>
        <v>0</v>
      </c>
      <c r="H111" s="30"/>
      <c r="I111" s="31"/>
      <c r="J111" s="42" t="str">
        <f t="shared" si="22"/>
        <v/>
      </c>
      <c r="K111" s="24" t="str">
        <f t="shared" si="24"/>
        <v/>
      </c>
      <c r="L111" s="22" t="str">
        <f t="shared" si="23"/>
        <v/>
      </c>
      <c r="M111" s="24" t="str">
        <f t="shared" si="25"/>
        <v/>
      </c>
    </row>
    <row r="112" spans="2:13" hidden="1" x14ac:dyDescent="0.55000000000000004">
      <c r="B112" s="29"/>
      <c r="C112" s="44" t="s">
        <v>180</v>
      </c>
      <c r="D112" s="31">
        <f>SUMIFS(database!$N:$N,database!$F:$F,calc!$C$95,database!$J:$J,C112,database!$B:$B,listbox!$D$3,database!$A:$A,listbox!$B$3)</f>
        <v>0</v>
      </c>
      <c r="E112" s="32">
        <f t="shared" si="20"/>
        <v>0</v>
      </c>
      <c r="F112" s="33">
        <f>SUMIFS(database!$O:$O,database!$F:$F,$C$95,database!$J:$J,calc!C112,database!$B:$B,listbox!$D$3,database!$A:$A,listbox!$B$3)</f>
        <v>0</v>
      </c>
      <c r="G112" s="32">
        <f t="shared" si="21"/>
        <v>0</v>
      </c>
      <c r="H112" s="30"/>
      <c r="I112" s="31"/>
      <c r="J112" s="42" t="str">
        <f t="shared" si="22"/>
        <v/>
      </c>
      <c r="K112" s="24" t="str">
        <f t="shared" si="24"/>
        <v/>
      </c>
      <c r="L112" s="22" t="str">
        <f t="shared" si="23"/>
        <v/>
      </c>
      <c r="M112" s="24" t="str">
        <f t="shared" si="25"/>
        <v/>
      </c>
    </row>
    <row r="113" spans="2:13" x14ac:dyDescent="0.55000000000000004">
      <c r="B113" s="29"/>
      <c r="C113" s="44" t="s">
        <v>181</v>
      </c>
      <c r="D113" s="31">
        <f>SUMIFS(database!$N:$N,database!$F:$F,calc!$C$95,database!$J:$J,C113,database!$B:$B,listbox!$D$3,database!$A:$A,listbox!$B$3)</f>
        <v>13.75</v>
      </c>
      <c r="E113" s="32">
        <f t="shared" si="20"/>
        <v>3.8969504591316179E-2</v>
      </c>
      <c r="F113" s="33">
        <f>SUMIFS(database!$O:$O,database!$F:$F,$C$95,database!$J:$J,calc!C113,database!$B:$B,listbox!$D$3,database!$A:$A,listbox!$B$3)</f>
        <v>3313636</v>
      </c>
      <c r="G113" s="32">
        <f t="shared" si="21"/>
        <v>6.2774155606226636E-2</v>
      </c>
      <c r="H113" s="30"/>
      <c r="I113" s="31"/>
      <c r="J113" s="42">
        <f t="shared" si="22"/>
        <v>13.75</v>
      </c>
      <c r="K113" s="24">
        <f t="shared" si="24"/>
        <v>8.287709076297152E-2</v>
      </c>
      <c r="L113" s="22">
        <f t="shared" si="23"/>
        <v>3313636</v>
      </c>
      <c r="M113" s="24">
        <f t="shared" si="25"/>
        <v>0.15668805575882991</v>
      </c>
    </row>
    <row r="114" spans="2:13" hidden="1" x14ac:dyDescent="0.55000000000000004">
      <c r="B114" s="29"/>
      <c r="C114" s="44" t="s">
        <v>165</v>
      </c>
      <c r="D114" s="31">
        <f>SUMIFS(database!$N:$N,database!$F:$F,calc!$C$95,database!$J:$J,C114,database!$B:$B,listbox!$D$3,database!$A:$A,listbox!$B$3)</f>
        <v>0</v>
      </c>
      <c r="E114" s="32">
        <f t="shared" si="20"/>
        <v>0</v>
      </c>
      <c r="F114" s="33">
        <f>SUMIFS(database!$O:$O,database!$F:$F,$C$95,database!$J:$J,calc!C114,database!$B:$B,listbox!$D$3,database!$A:$A,listbox!$B$3)</f>
        <v>0</v>
      </c>
      <c r="G114" s="32">
        <f t="shared" si="21"/>
        <v>0</v>
      </c>
      <c r="H114" s="30"/>
      <c r="I114" s="31"/>
      <c r="J114" s="42" t="str">
        <f t="shared" si="22"/>
        <v/>
      </c>
      <c r="K114" s="24" t="str">
        <f t="shared" si="24"/>
        <v/>
      </c>
      <c r="L114" s="22" t="str">
        <f t="shared" si="23"/>
        <v/>
      </c>
      <c r="M114" s="24" t="str">
        <f t="shared" si="25"/>
        <v/>
      </c>
    </row>
    <row r="115" spans="2:13" ht="24" x14ac:dyDescent="0.55000000000000004">
      <c r="B115" s="29"/>
      <c r="C115" s="51" t="s">
        <v>136</v>
      </c>
      <c r="D115" s="51">
        <f>SUM(D97:D114)</f>
        <v>352.84</v>
      </c>
      <c r="E115" s="49">
        <f>SUM(E97:E114)</f>
        <v>1</v>
      </c>
      <c r="F115" s="50">
        <f>SUM(F97:F114)</f>
        <v>52786628</v>
      </c>
      <c r="G115" s="49">
        <f>SUM(G97:G114)</f>
        <v>1</v>
      </c>
      <c r="H115" s="30"/>
      <c r="I115" s="31"/>
      <c r="J115" s="43">
        <f>SUM(J97:J114)</f>
        <v>165.90833333333333</v>
      </c>
      <c r="K115" s="21">
        <f>SUM(K97:K114)</f>
        <v>1</v>
      </c>
      <c r="L115" s="23">
        <f>SUM(L97:L114)</f>
        <v>21147980.833333336</v>
      </c>
      <c r="M115" s="21">
        <f>SUM(M97:M114)</f>
        <v>1</v>
      </c>
    </row>
    <row r="116" spans="2:13" x14ac:dyDescent="0.55000000000000004">
      <c r="B116" s="29"/>
      <c r="C116" s="31"/>
      <c r="D116" s="31"/>
      <c r="E116" s="31"/>
      <c r="F116" s="31"/>
      <c r="G116" s="31"/>
      <c r="H116" s="30"/>
      <c r="I116" s="31"/>
    </row>
    <row r="117" spans="2:13" x14ac:dyDescent="0.55000000000000004">
      <c r="B117" s="29"/>
      <c r="C117" s="31"/>
      <c r="D117" s="31"/>
      <c r="E117" s="31"/>
      <c r="F117" s="31"/>
      <c r="G117" s="31"/>
      <c r="H117" s="30"/>
      <c r="I117" s="31"/>
    </row>
    <row r="118" spans="2:13" ht="26.25" x14ac:dyDescent="0.55000000000000004">
      <c r="B118" s="29"/>
      <c r="C118" s="66" t="s">
        <v>4</v>
      </c>
      <c r="D118" s="66"/>
      <c r="E118" s="66"/>
      <c r="F118" s="66"/>
      <c r="G118" s="66"/>
      <c r="H118" s="30"/>
      <c r="I118" s="31"/>
    </row>
    <row r="119" spans="2:13" ht="24" x14ac:dyDescent="0.55000000000000004">
      <c r="B119" s="29"/>
      <c r="C119" s="48" t="s">
        <v>96</v>
      </c>
      <c r="D119" s="48" t="s">
        <v>159</v>
      </c>
      <c r="E119" s="48" t="s">
        <v>158</v>
      </c>
      <c r="F119" s="48" t="s">
        <v>115</v>
      </c>
      <c r="G119" s="48" t="s">
        <v>116</v>
      </c>
      <c r="H119" s="30"/>
      <c r="I119" s="31"/>
      <c r="J119" s="8" t="s">
        <v>161</v>
      </c>
      <c r="K119" s="8" t="s">
        <v>162</v>
      </c>
      <c r="L119" s="8" t="s">
        <v>163</v>
      </c>
      <c r="M119" s="8" t="s">
        <v>164</v>
      </c>
    </row>
    <row r="120" spans="2:13" hidden="1" x14ac:dyDescent="0.55000000000000004">
      <c r="B120" s="29"/>
      <c r="C120" s="44" t="s">
        <v>185</v>
      </c>
      <c r="D120" s="31">
        <f>SUMIFS(database!$N:$N,database!$F:$F,calc!$C$118,database!$J:$J,C120,database!$B:$B,listbox!$D$3,database!$A:$A,listbox!$B$3)</f>
        <v>0</v>
      </c>
      <c r="E120" s="32" t="str">
        <f>IFERROR(D120/$D$128,"")</f>
        <v/>
      </c>
      <c r="F120" s="33">
        <f>SUMIFS(database!$O:$O,database!$F:$F,$C$118,database!$J:$J,calc!C120,database!$B:$B,listbox!$D$3,database!$A:$A,listbox!$B$3)</f>
        <v>0</v>
      </c>
      <c r="G120" s="32" t="str">
        <f>IFERROR(F120/$F$128,"")</f>
        <v/>
      </c>
      <c r="H120" s="30"/>
      <c r="I120" s="31"/>
      <c r="J120" s="42" t="str">
        <f>IFERROR(D120/D28,"")</f>
        <v/>
      </c>
      <c r="K120" s="24" t="str">
        <f>IFERROR(J120/$J$128,"")</f>
        <v/>
      </c>
      <c r="L120" s="22" t="str">
        <f>IFERROR(F120/D28,"")</f>
        <v/>
      </c>
      <c r="M120" s="24" t="str">
        <f>IFERROR(L120/$L$128,"")</f>
        <v/>
      </c>
    </row>
    <row r="121" spans="2:13" hidden="1" x14ac:dyDescent="0.55000000000000004">
      <c r="B121" s="29"/>
      <c r="C121" s="44" t="s">
        <v>186</v>
      </c>
      <c r="D121" s="31">
        <f>SUMIFS(database!$N:$N,database!$F:$F,calc!$C$118,database!$J:$J,C121,database!$B:$B,listbox!$D$3,database!$A:$A,listbox!$B$3)</f>
        <v>0</v>
      </c>
      <c r="E121" s="32" t="str">
        <f t="shared" ref="E121:E127" si="26">IFERROR(D121/$D$128,"")</f>
        <v/>
      </c>
      <c r="F121" s="33">
        <f>SUMIFS(database!$O:$O,database!$F:$F,$C$118,database!$J:$J,calc!C121,database!$B:$B,listbox!$D$3,database!$A:$A,listbox!$B$3)</f>
        <v>0</v>
      </c>
      <c r="G121" s="32" t="str">
        <f t="shared" ref="G121:G127" si="27">IFERROR(F121/$F$128,"")</f>
        <v/>
      </c>
      <c r="H121" s="30"/>
      <c r="I121" s="31"/>
      <c r="J121" s="42">
        <f t="shared" ref="J121:J127" si="28">IFERROR(D121/D29,"")</f>
        <v>0</v>
      </c>
      <c r="K121" s="24" t="str">
        <f t="shared" ref="K121:K127" si="29">IFERROR(J121/$J$128,"")</f>
        <v/>
      </c>
      <c r="L121" s="22">
        <f t="shared" ref="L121:L127" si="30">IFERROR(F121/D29,"")</f>
        <v>0</v>
      </c>
      <c r="M121" s="24" t="str">
        <f t="shared" ref="M121:M127" si="31">IFERROR(L121/$L$128,"")</f>
        <v/>
      </c>
    </row>
    <row r="122" spans="2:13" hidden="1" x14ac:dyDescent="0.55000000000000004">
      <c r="B122" s="29"/>
      <c r="C122" s="44" t="s">
        <v>187</v>
      </c>
      <c r="D122" s="31">
        <f>SUMIFS(database!$N:$N,database!$F:$F,calc!$C$118,database!$J:$J,C122,database!$B:$B,listbox!$D$3,database!$A:$A,listbox!$B$3)</f>
        <v>0</v>
      </c>
      <c r="E122" s="32" t="str">
        <f t="shared" si="26"/>
        <v/>
      </c>
      <c r="F122" s="33">
        <f>SUMIFS(database!$O:$O,database!$F:$F,$C$118,database!$J:$J,calc!C122,database!$B:$B,listbox!$D$3,database!$A:$A,listbox!$B$3)</f>
        <v>0</v>
      </c>
      <c r="G122" s="32" t="str">
        <f t="shared" si="27"/>
        <v/>
      </c>
      <c r="H122" s="30"/>
      <c r="I122" s="31"/>
      <c r="J122" s="42" t="str">
        <f t="shared" si="28"/>
        <v/>
      </c>
      <c r="K122" s="24" t="str">
        <f t="shared" si="29"/>
        <v/>
      </c>
      <c r="L122" s="22" t="str">
        <f t="shared" si="30"/>
        <v/>
      </c>
      <c r="M122" s="24" t="str">
        <f t="shared" si="31"/>
        <v/>
      </c>
    </row>
    <row r="123" spans="2:13" hidden="1" x14ac:dyDescent="0.55000000000000004">
      <c r="B123" s="29"/>
      <c r="C123" s="44" t="s">
        <v>188</v>
      </c>
      <c r="D123" s="31">
        <f>SUMIFS(database!$N:$N,database!$F:$F,calc!$C$118,database!$J:$J,C123,database!$B:$B,listbox!$D$3,database!$A:$A,listbox!$B$3)</f>
        <v>0</v>
      </c>
      <c r="E123" s="32" t="str">
        <f t="shared" si="26"/>
        <v/>
      </c>
      <c r="F123" s="33">
        <f>SUMIFS(database!$O:$O,database!$F:$F,$C$118,database!$J:$J,calc!C123,database!$B:$B,listbox!$D$3,database!$A:$A,listbox!$B$3)</f>
        <v>0</v>
      </c>
      <c r="G123" s="32" t="str">
        <f t="shared" si="27"/>
        <v/>
      </c>
      <c r="H123" s="30"/>
      <c r="I123" s="31"/>
      <c r="J123" s="42" t="str">
        <f t="shared" si="28"/>
        <v/>
      </c>
      <c r="K123" s="24" t="str">
        <f t="shared" si="29"/>
        <v/>
      </c>
      <c r="L123" s="22" t="str">
        <f t="shared" si="30"/>
        <v/>
      </c>
      <c r="M123" s="24" t="str">
        <f t="shared" si="31"/>
        <v/>
      </c>
    </row>
    <row r="124" spans="2:13" hidden="1" x14ac:dyDescent="0.55000000000000004">
      <c r="B124" s="29"/>
      <c r="C124" s="44" t="s">
        <v>189</v>
      </c>
      <c r="D124" s="31">
        <f>SUMIFS(database!$N:$N,database!$F:$F,calc!$C$118,database!$J:$J,C124,database!$B:$B,listbox!$D$3,database!$A:$A,listbox!$B$3)</f>
        <v>0</v>
      </c>
      <c r="E124" s="32" t="str">
        <f t="shared" si="26"/>
        <v/>
      </c>
      <c r="F124" s="33">
        <f>SUMIFS(database!$O:$O,database!$F:$F,$C$118,database!$J:$J,calc!C124,database!$B:$B,listbox!$D$3,database!$A:$A,listbox!$B$3)</f>
        <v>0</v>
      </c>
      <c r="G124" s="32" t="str">
        <f t="shared" si="27"/>
        <v/>
      </c>
      <c r="H124" s="30"/>
      <c r="I124" s="31"/>
      <c r="J124" s="42">
        <f t="shared" si="28"/>
        <v>0</v>
      </c>
      <c r="K124" s="24" t="str">
        <f t="shared" si="29"/>
        <v/>
      </c>
      <c r="L124" s="22">
        <f t="shared" si="30"/>
        <v>0</v>
      </c>
      <c r="M124" s="24" t="str">
        <f t="shared" si="31"/>
        <v/>
      </c>
    </row>
    <row r="125" spans="2:13" hidden="1" x14ac:dyDescent="0.55000000000000004">
      <c r="B125" s="29"/>
      <c r="C125" s="44" t="s">
        <v>192</v>
      </c>
      <c r="D125" s="31">
        <f>SUMIFS(database!$N:$N,database!$F:$F,calc!$C$118,database!$J:$J,C125,database!$B:$B,listbox!$D$3,database!$A:$A,listbox!$B$3)</f>
        <v>0</v>
      </c>
      <c r="E125" s="32" t="str">
        <f t="shared" si="26"/>
        <v/>
      </c>
      <c r="F125" s="33">
        <f>SUMIFS(database!$O:$O,database!$F:$F,$C$118,database!$J:$J,calc!C125,database!$B:$B,listbox!$D$3,database!$A:$A,listbox!$B$3)</f>
        <v>0</v>
      </c>
      <c r="G125" s="32" t="str">
        <f t="shared" si="27"/>
        <v/>
      </c>
      <c r="H125" s="30"/>
      <c r="I125" s="31"/>
      <c r="J125" s="42" t="str">
        <f t="shared" si="28"/>
        <v/>
      </c>
      <c r="K125" s="24" t="str">
        <f t="shared" si="29"/>
        <v/>
      </c>
      <c r="L125" s="22" t="str">
        <f t="shared" si="30"/>
        <v/>
      </c>
      <c r="M125" s="24" t="str">
        <f t="shared" si="31"/>
        <v/>
      </c>
    </row>
    <row r="126" spans="2:13" hidden="1" x14ac:dyDescent="0.55000000000000004">
      <c r="B126" s="29"/>
      <c r="C126" s="44" t="s">
        <v>190</v>
      </c>
      <c r="D126" s="31">
        <f>SUMIFS(database!$N:$N,database!$F:$F,calc!$C$118,database!$J:$J,C126,database!$B:$B,listbox!$D$3,database!$A:$A,listbox!$B$3)</f>
        <v>0</v>
      </c>
      <c r="E126" s="32" t="str">
        <f t="shared" si="26"/>
        <v/>
      </c>
      <c r="F126" s="33">
        <f>SUMIFS(database!$O:$O,database!$F:$F,$C$118,database!$J:$J,calc!C126,database!$B:$B,listbox!$D$3,database!$A:$A,listbox!$B$3)</f>
        <v>0</v>
      </c>
      <c r="G126" s="32" t="str">
        <f t="shared" si="27"/>
        <v/>
      </c>
      <c r="H126" s="30"/>
      <c r="I126" s="31"/>
      <c r="J126" s="42">
        <f t="shared" si="28"/>
        <v>0</v>
      </c>
      <c r="K126" s="24" t="str">
        <f t="shared" si="29"/>
        <v/>
      </c>
      <c r="L126" s="22">
        <f t="shared" si="30"/>
        <v>0</v>
      </c>
      <c r="M126" s="24" t="str">
        <f t="shared" si="31"/>
        <v/>
      </c>
    </row>
    <row r="127" spans="2:13" hidden="1" x14ac:dyDescent="0.55000000000000004">
      <c r="B127" s="29"/>
      <c r="C127" s="44" t="s">
        <v>191</v>
      </c>
      <c r="D127" s="31">
        <f>SUMIFS(database!$N:$N,database!$F:$F,calc!$C$118,database!$J:$J,C127,database!$B:$B,listbox!$D$3,database!$A:$A,listbox!$B$3)</f>
        <v>0</v>
      </c>
      <c r="E127" s="32" t="str">
        <f t="shared" si="26"/>
        <v/>
      </c>
      <c r="F127" s="33">
        <f>SUMIFS(database!$O:$O,database!$F:$F,$C$118,database!$J:$J,calc!C127,database!$B:$B,listbox!$D$3,database!$A:$A,listbox!$B$3)</f>
        <v>0</v>
      </c>
      <c r="G127" s="32" t="str">
        <f t="shared" si="27"/>
        <v/>
      </c>
      <c r="H127" s="30"/>
      <c r="I127" s="31"/>
      <c r="J127" s="42">
        <f t="shared" si="28"/>
        <v>0</v>
      </c>
      <c r="K127" s="24" t="str">
        <f t="shared" si="29"/>
        <v/>
      </c>
      <c r="L127" s="22">
        <f t="shared" si="30"/>
        <v>0</v>
      </c>
      <c r="M127" s="24" t="str">
        <f t="shared" si="31"/>
        <v/>
      </c>
    </row>
    <row r="128" spans="2:13" ht="24" hidden="1" x14ac:dyDescent="0.55000000000000004">
      <c r="B128" s="29"/>
      <c r="C128" s="51" t="s">
        <v>136</v>
      </c>
      <c r="D128" s="51">
        <f>SUM(D120:D127)</f>
        <v>0</v>
      </c>
      <c r="E128" s="49">
        <f>SUM(E120:E127)</f>
        <v>0</v>
      </c>
      <c r="F128" s="50">
        <f t="shared" ref="F128" si="32">SUM(F120:F127)</f>
        <v>0</v>
      </c>
      <c r="G128" s="49">
        <f>SUM(G120:G127)</f>
        <v>0</v>
      </c>
      <c r="H128" s="30"/>
      <c r="I128" s="31"/>
      <c r="J128" s="19">
        <f>SUM(J120:J127)</f>
        <v>0</v>
      </c>
      <c r="K128" s="21">
        <f>SUM(K120:K127)</f>
        <v>0</v>
      </c>
      <c r="L128" s="23">
        <f t="shared" ref="L128" si="33">SUM(L120:L127)</f>
        <v>0</v>
      </c>
      <c r="M128" s="21">
        <f t="shared" ref="M128" si="34">SUM(M120:M127)</f>
        <v>0</v>
      </c>
    </row>
    <row r="129" spans="2:13" ht="23.25" thickBot="1" x14ac:dyDescent="0.6">
      <c r="B129" s="35"/>
      <c r="C129" s="36"/>
      <c r="D129" s="36"/>
      <c r="E129" s="36"/>
      <c r="F129" s="36"/>
      <c r="G129" s="36"/>
      <c r="H129" s="37"/>
      <c r="I129" s="31"/>
    </row>
    <row r="130" spans="2:13" x14ac:dyDescent="0.55000000000000004">
      <c r="I130" s="31"/>
    </row>
    <row r="131" spans="2:13" x14ac:dyDescent="0.55000000000000004">
      <c r="I131" s="31"/>
    </row>
    <row r="132" spans="2:13" ht="23.25" thickBot="1" x14ac:dyDescent="0.6">
      <c r="C132" s="67" t="s">
        <v>145</v>
      </c>
      <c r="I132" s="31"/>
    </row>
    <row r="133" spans="2:13" x14ac:dyDescent="0.55000000000000004">
      <c r="B133" s="26"/>
      <c r="C133" s="67"/>
      <c r="D133" s="27"/>
      <c r="E133" s="27"/>
      <c r="F133" s="27"/>
      <c r="G133" s="27"/>
      <c r="H133" s="28"/>
    </row>
    <row r="134" spans="2:13" ht="26.25" x14ac:dyDescent="0.55000000000000004">
      <c r="B134" s="29"/>
      <c r="C134" s="66" t="s">
        <v>3</v>
      </c>
      <c r="D134" s="66"/>
      <c r="E134" s="66"/>
      <c r="F134" s="66"/>
      <c r="G134" s="66"/>
      <c r="H134" s="30"/>
    </row>
    <row r="135" spans="2:13" ht="24" x14ac:dyDescent="0.55000000000000004">
      <c r="B135" s="29"/>
      <c r="C135" s="48" t="s">
        <v>96</v>
      </c>
      <c r="D135" s="48" t="s">
        <v>160</v>
      </c>
      <c r="E135" s="48" t="s">
        <v>158</v>
      </c>
      <c r="F135" s="48" t="s">
        <v>115</v>
      </c>
      <c r="G135" s="48" t="s">
        <v>116</v>
      </c>
      <c r="H135" s="30"/>
      <c r="J135" s="8" t="s">
        <v>161</v>
      </c>
      <c r="K135" s="8" t="s">
        <v>162</v>
      </c>
      <c r="L135" s="8" t="s">
        <v>163</v>
      </c>
      <c r="M135" s="8" t="s">
        <v>164</v>
      </c>
    </row>
    <row r="136" spans="2:13" x14ac:dyDescent="0.55000000000000004">
      <c r="B136" s="29"/>
      <c r="C136" s="44" t="s">
        <v>166</v>
      </c>
      <c r="D136" s="31">
        <f>SUMIFS(database!$P:$P,database!$F:$F,calc!$C$134,database!$J:$J,C136,database!$B:$B,listbox!$D$3,database!$A:$A,listbox!$B$3)</f>
        <v>368</v>
      </c>
      <c r="E136" s="32">
        <f>D136/$D$154</f>
        <v>1</v>
      </c>
      <c r="F136" s="33">
        <f>SUMIFS(database!$Q:$Q,database!$F:$F,$C$134,database!$J:$J,calc!C136,database!$B:$B,listbox!$D$3,database!$A:$A,listbox!$B$3)</f>
        <v>24410936</v>
      </c>
      <c r="G136" s="32">
        <f>F136/$F$154</f>
        <v>1</v>
      </c>
      <c r="H136" s="30"/>
      <c r="I136" s="31"/>
      <c r="J136" s="42">
        <f>IFERROR(D136/D5,"")</f>
        <v>122.66666666666667</v>
      </c>
      <c r="K136" s="24">
        <f>IFERROR(J136/$J$154,"")</f>
        <v>1</v>
      </c>
      <c r="L136" s="22">
        <f>IFERROR(F136/D5,"")</f>
        <v>8136978.666666667</v>
      </c>
      <c r="M136" s="24">
        <f>IFERROR(L136/$L$154,"")</f>
        <v>1</v>
      </c>
    </row>
    <row r="137" spans="2:13" hidden="1" x14ac:dyDescent="0.55000000000000004">
      <c r="B137" s="29"/>
      <c r="C137" s="44" t="s">
        <v>167</v>
      </c>
      <c r="D137" s="31">
        <f>SUMIFS(database!$P:$P,database!$F:$F,calc!$C$134,database!$J:$J,C137,database!$B:$B,listbox!$D$3,database!$A:$A,listbox!$B$3)</f>
        <v>0</v>
      </c>
      <c r="E137" s="32">
        <f t="shared" ref="E137:E153" si="35">D137/$D$154</f>
        <v>0</v>
      </c>
      <c r="F137" s="33">
        <f>SUMIFS(database!$Q:$Q,database!$F:$F,$C$134,database!$J:$J,calc!C137,database!$B:$B,listbox!$D$3,database!$A:$A,listbox!$B$3)</f>
        <v>0</v>
      </c>
      <c r="G137" s="32">
        <f t="shared" ref="G137:G153" si="36">F137/$F$154</f>
        <v>0</v>
      </c>
      <c r="H137" s="30"/>
      <c r="I137" s="31"/>
      <c r="J137" s="42">
        <f t="shared" ref="J137:J153" si="37">IFERROR(D137/D6,"")</f>
        <v>0</v>
      </c>
      <c r="K137" s="24">
        <f t="shared" ref="K137:K153" si="38">IFERROR(J137/$J$154,"")</f>
        <v>0</v>
      </c>
      <c r="L137" s="22">
        <f t="shared" ref="L137:L153" si="39">IFERROR(F137/D6,"")</f>
        <v>0</v>
      </c>
      <c r="M137" s="24">
        <f t="shared" ref="M137:M153" si="40">IFERROR(L137/$L$154,"")</f>
        <v>0</v>
      </c>
    </row>
    <row r="138" spans="2:13" hidden="1" x14ac:dyDescent="0.55000000000000004">
      <c r="B138" s="29"/>
      <c r="C138" s="44" t="s">
        <v>168</v>
      </c>
      <c r="D138" s="31">
        <f>SUMIFS(database!$P:$P,database!$F:$F,calc!$C$134,database!$J:$J,C138,database!$B:$B,listbox!$D$3,database!$A:$A,listbox!$B$3)</f>
        <v>0</v>
      </c>
      <c r="E138" s="32">
        <f t="shared" si="35"/>
        <v>0</v>
      </c>
      <c r="F138" s="33">
        <f>SUMIFS(database!$Q:$Q,database!$F:$F,$C$134,database!$J:$J,calc!C138,database!$B:$B,listbox!$D$3,database!$A:$A,listbox!$B$3)</f>
        <v>0</v>
      </c>
      <c r="G138" s="32">
        <f t="shared" si="36"/>
        <v>0</v>
      </c>
      <c r="H138" s="30"/>
      <c r="I138" s="31"/>
      <c r="J138" s="42" t="str">
        <f t="shared" si="37"/>
        <v/>
      </c>
      <c r="K138" s="24" t="str">
        <f t="shared" si="38"/>
        <v/>
      </c>
      <c r="L138" s="22" t="str">
        <f t="shared" si="39"/>
        <v/>
      </c>
      <c r="M138" s="24" t="str">
        <f t="shared" si="40"/>
        <v/>
      </c>
    </row>
    <row r="139" spans="2:13" hidden="1" x14ac:dyDescent="0.55000000000000004">
      <c r="B139" s="29"/>
      <c r="C139" s="44" t="s">
        <v>169</v>
      </c>
      <c r="D139" s="31">
        <f>SUMIFS(database!$P:$P,database!$F:$F,calc!$C$134,database!$J:$J,C139,database!$B:$B,listbox!$D$3,database!$A:$A,listbox!$B$3)</f>
        <v>0</v>
      </c>
      <c r="E139" s="32">
        <f t="shared" si="35"/>
        <v>0</v>
      </c>
      <c r="F139" s="33">
        <f>SUMIFS(database!$Q:$Q,database!$F:$F,$C$134,database!$J:$J,calc!C139,database!$B:$B,listbox!$D$3,database!$A:$A,listbox!$B$3)</f>
        <v>0</v>
      </c>
      <c r="G139" s="32">
        <f t="shared" si="36"/>
        <v>0</v>
      </c>
      <c r="H139" s="30"/>
      <c r="I139" s="31"/>
      <c r="J139" s="42">
        <f t="shared" si="37"/>
        <v>0</v>
      </c>
      <c r="K139" s="24">
        <f t="shared" si="38"/>
        <v>0</v>
      </c>
      <c r="L139" s="22">
        <f t="shared" si="39"/>
        <v>0</v>
      </c>
      <c r="M139" s="24">
        <f t="shared" si="40"/>
        <v>0</v>
      </c>
    </row>
    <row r="140" spans="2:13" hidden="1" x14ac:dyDescent="0.55000000000000004">
      <c r="B140" s="29"/>
      <c r="C140" s="44" t="s">
        <v>170</v>
      </c>
      <c r="D140" s="31">
        <f>SUMIFS(database!$P:$P,database!$F:$F,calc!$C$134,database!$J:$J,C140,database!$B:$B,listbox!$D$3,database!$A:$A,listbox!$B$3)</f>
        <v>0</v>
      </c>
      <c r="E140" s="32">
        <f t="shared" si="35"/>
        <v>0</v>
      </c>
      <c r="F140" s="33">
        <f>SUMIFS(database!$Q:$Q,database!$F:$F,$C$134,database!$J:$J,calc!C140,database!$B:$B,listbox!$D$3,database!$A:$A,listbox!$B$3)</f>
        <v>0</v>
      </c>
      <c r="G140" s="32">
        <f t="shared" si="36"/>
        <v>0</v>
      </c>
      <c r="H140" s="30"/>
      <c r="I140" s="31"/>
      <c r="J140" s="42" t="str">
        <f t="shared" si="37"/>
        <v/>
      </c>
      <c r="K140" s="24" t="str">
        <f t="shared" si="38"/>
        <v/>
      </c>
      <c r="L140" s="22" t="str">
        <f t="shared" si="39"/>
        <v/>
      </c>
      <c r="M140" s="24" t="str">
        <f t="shared" si="40"/>
        <v/>
      </c>
    </row>
    <row r="141" spans="2:13" hidden="1" x14ac:dyDescent="0.55000000000000004">
      <c r="B141" s="29"/>
      <c r="C141" s="44" t="s">
        <v>171</v>
      </c>
      <c r="D141" s="31">
        <f>SUMIFS(database!$P:$P,database!$F:$F,calc!$C$134,database!$J:$J,C141,database!$B:$B,listbox!$D$3,database!$A:$A,listbox!$B$3)</f>
        <v>0</v>
      </c>
      <c r="E141" s="32">
        <f t="shared" si="35"/>
        <v>0</v>
      </c>
      <c r="F141" s="33">
        <f>SUMIFS(database!$Q:$Q,database!$F:$F,$C$134,database!$J:$J,calc!C141,database!$B:$B,listbox!$D$3,database!$A:$A,listbox!$B$3)</f>
        <v>0</v>
      </c>
      <c r="G141" s="32">
        <f t="shared" si="36"/>
        <v>0</v>
      </c>
      <c r="H141" s="30"/>
      <c r="I141" s="31"/>
      <c r="J141" s="42">
        <f t="shared" si="37"/>
        <v>0</v>
      </c>
      <c r="K141" s="24">
        <f t="shared" si="38"/>
        <v>0</v>
      </c>
      <c r="L141" s="22">
        <f t="shared" si="39"/>
        <v>0</v>
      </c>
      <c r="M141" s="24">
        <f t="shared" si="40"/>
        <v>0</v>
      </c>
    </row>
    <row r="142" spans="2:13" hidden="1" x14ac:dyDescent="0.55000000000000004">
      <c r="B142" s="29"/>
      <c r="C142" s="44" t="s">
        <v>193</v>
      </c>
      <c r="D142" s="31">
        <f>SUMIFS(database!$P:$P,database!$F:$F,calc!$C$134,database!$J:$J,C142,database!$B:$B,listbox!$D$3,database!$A:$A,listbox!$B$3)</f>
        <v>0</v>
      </c>
      <c r="E142" s="32">
        <f t="shared" si="35"/>
        <v>0</v>
      </c>
      <c r="F142" s="33">
        <f>SUMIFS(database!$Q:$Q,database!$F:$F,$C$134,database!$J:$J,calc!C142,database!$B:$B,listbox!$D$3,database!$A:$A,listbox!$B$3)</f>
        <v>0</v>
      </c>
      <c r="G142" s="32">
        <f t="shared" si="36"/>
        <v>0</v>
      </c>
      <c r="H142" s="30"/>
      <c r="I142" s="31"/>
      <c r="J142" s="42">
        <f t="shared" si="37"/>
        <v>0</v>
      </c>
      <c r="K142" s="24">
        <f t="shared" si="38"/>
        <v>0</v>
      </c>
      <c r="L142" s="22">
        <f t="shared" si="39"/>
        <v>0</v>
      </c>
      <c r="M142" s="24">
        <f t="shared" si="40"/>
        <v>0</v>
      </c>
    </row>
    <row r="143" spans="2:13" hidden="1" x14ac:dyDescent="0.55000000000000004">
      <c r="B143" s="29"/>
      <c r="C143" s="44" t="s">
        <v>172</v>
      </c>
      <c r="D143" s="31">
        <f>SUMIFS(database!$P:$P,database!$F:$F,calc!$C$134,database!$J:$J,C143,database!$B:$B,listbox!$D$3,database!$A:$A,listbox!$B$3)</f>
        <v>0</v>
      </c>
      <c r="E143" s="32">
        <f t="shared" si="35"/>
        <v>0</v>
      </c>
      <c r="F143" s="33">
        <f>SUMIFS(database!$Q:$Q,database!$F:$F,$C$134,database!$J:$J,calc!C143,database!$B:$B,listbox!$D$3,database!$A:$A,listbox!$B$3)</f>
        <v>0</v>
      </c>
      <c r="G143" s="32">
        <f t="shared" si="36"/>
        <v>0</v>
      </c>
      <c r="H143" s="30"/>
      <c r="I143" s="31"/>
      <c r="J143" s="42" t="str">
        <f t="shared" si="37"/>
        <v/>
      </c>
      <c r="K143" s="24" t="str">
        <f t="shared" si="38"/>
        <v/>
      </c>
      <c r="L143" s="22" t="str">
        <f t="shared" si="39"/>
        <v/>
      </c>
      <c r="M143" s="24" t="str">
        <f t="shared" si="40"/>
        <v/>
      </c>
    </row>
    <row r="144" spans="2:13" hidden="1" x14ac:dyDescent="0.55000000000000004">
      <c r="B144" s="29"/>
      <c r="C144" s="44" t="s">
        <v>173</v>
      </c>
      <c r="D144" s="31">
        <f>SUMIFS(database!$P:$P,database!$F:$F,calc!$C$134,database!$J:$J,C144,database!$B:$B,listbox!$D$3,database!$A:$A,listbox!$B$3)</f>
        <v>0</v>
      </c>
      <c r="E144" s="32">
        <f t="shared" si="35"/>
        <v>0</v>
      </c>
      <c r="F144" s="33">
        <f>SUMIFS(database!$Q:$Q,database!$F:$F,$C$134,database!$J:$J,calc!C144,database!$B:$B,listbox!$D$3,database!$A:$A,listbox!$B$3)</f>
        <v>0</v>
      </c>
      <c r="G144" s="32">
        <f t="shared" si="36"/>
        <v>0</v>
      </c>
      <c r="H144" s="30"/>
      <c r="I144" s="31"/>
      <c r="J144" s="42">
        <f t="shared" si="37"/>
        <v>0</v>
      </c>
      <c r="K144" s="24">
        <f t="shared" si="38"/>
        <v>0</v>
      </c>
      <c r="L144" s="22">
        <f t="shared" si="39"/>
        <v>0</v>
      </c>
      <c r="M144" s="24">
        <f t="shared" si="40"/>
        <v>0</v>
      </c>
    </row>
    <row r="145" spans="2:13" hidden="1" x14ac:dyDescent="0.55000000000000004">
      <c r="B145" s="29"/>
      <c r="C145" s="44" t="s">
        <v>174</v>
      </c>
      <c r="D145" s="31">
        <f>SUMIFS(database!$P:$P,database!$F:$F,calc!$C$134,database!$J:$J,C145,database!$B:$B,listbox!$D$3,database!$A:$A,listbox!$B$3)</f>
        <v>0</v>
      </c>
      <c r="E145" s="32">
        <f t="shared" si="35"/>
        <v>0</v>
      </c>
      <c r="F145" s="33">
        <f>SUMIFS(database!$Q:$Q,database!$F:$F,$C$134,database!$J:$J,calc!C145,database!$B:$B,listbox!$D$3,database!$A:$A,listbox!$B$3)</f>
        <v>0</v>
      </c>
      <c r="G145" s="32">
        <f t="shared" si="36"/>
        <v>0</v>
      </c>
      <c r="H145" s="30"/>
      <c r="I145" s="31"/>
      <c r="J145" s="42" t="str">
        <f t="shared" si="37"/>
        <v/>
      </c>
      <c r="K145" s="24" t="str">
        <f t="shared" si="38"/>
        <v/>
      </c>
      <c r="L145" s="22" t="str">
        <f t="shared" si="39"/>
        <v/>
      </c>
      <c r="M145" s="24" t="str">
        <f t="shared" si="40"/>
        <v/>
      </c>
    </row>
    <row r="146" spans="2:13" hidden="1" x14ac:dyDescent="0.55000000000000004">
      <c r="B146" s="29"/>
      <c r="C146" s="44" t="s">
        <v>175</v>
      </c>
      <c r="D146" s="31">
        <f>SUMIFS(database!$P:$P,database!$F:$F,calc!$C$134,database!$J:$J,C146,database!$B:$B,listbox!$D$3,database!$A:$A,listbox!$B$3)</f>
        <v>0</v>
      </c>
      <c r="E146" s="32">
        <f t="shared" si="35"/>
        <v>0</v>
      </c>
      <c r="F146" s="33">
        <f>SUMIFS(database!$Q:$Q,database!$F:$F,$C$134,database!$J:$J,calc!C146,database!$B:$B,listbox!$D$3,database!$A:$A,listbox!$B$3)</f>
        <v>0</v>
      </c>
      <c r="G146" s="32">
        <f t="shared" si="36"/>
        <v>0</v>
      </c>
      <c r="H146" s="30"/>
      <c r="I146" s="31"/>
      <c r="J146" s="42" t="str">
        <f t="shared" si="37"/>
        <v/>
      </c>
      <c r="K146" s="24" t="str">
        <f t="shared" si="38"/>
        <v/>
      </c>
      <c r="L146" s="22" t="str">
        <f t="shared" si="39"/>
        <v/>
      </c>
      <c r="M146" s="24" t="str">
        <f t="shared" si="40"/>
        <v/>
      </c>
    </row>
    <row r="147" spans="2:13" hidden="1" x14ac:dyDescent="0.55000000000000004">
      <c r="B147" s="29"/>
      <c r="C147" s="44" t="s">
        <v>176</v>
      </c>
      <c r="D147" s="31">
        <f>SUMIFS(database!$P:$P,database!$F:$F,calc!$C$134,database!$J:$J,C147,database!$B:$B,listbox!$D$3,database!$A:$A,listbox!$B$3)</f>
        <v>0</v>
      </c>
      <c r="E147" s="52">
        <f t="shared" si="35"/>
        <v>0</v>
      </c>
      <c r="F147" s="33">
        <f>SUMIFS(database!$Q:$Q,database!$F:$F,$C$134,database!$J:$J,calc!C147,database!$B:$B,listbox!$D$3,database!$A:$A,listbox!$B$3)</f>
        <v>0</v>
      </c>
      <c r="G147" s="32">
        <f t="shared" si="36"/>
        <v>0</v>
      </c>
      <c r="H147" s="30"/>
      <c r="I147" s="31"/>
      <c r="J147" s="63">
        <f t="shared" si="37"/>
        <v>0</v>
      </c>
      <c r="K147" s="62">
        <f t="shared" si="38"/>
        <v>0</v>
      </c>
      <c r="L147" s="22">
        <f t="shared" si="39"/>
        <v>0</v>
      </c>
      <c r="M147" s="62">
        <f t="shared" si="40"/>
        <v>0</v>
      </c>
    </row>
    <row r="148" spans="2:13" hidden="1" x14ac:dyDescent="0.55000000000000004">
      <c r="B148" s="29"/>
      <c r="C148" s="44" t="s">
        <v>177</v>
      </c>
      <c r="D148" s="31">
        <f>SUMIFS(database!$P:$P,database!$F:$F,calc!$C$134,database!$J:$J,C148,database!$B:$B,listbox!$D$3,database!$A:$A,listbox!$B$3)</f>
        <v>0</v>
      </c>
      <c r="E148" s="32">
        <f t="shared" si="35"/>
        <v>0</v>
      </c>
      <c r="F148" s="33">
        <f>SUMIFS(database!$Q:$Q,database!$F:$F,$C$134,database!$J:$J,calc!C148,database!$B:$B,listbox!$D$3,database!$A:$A,listbox!$B$3)</f>
        <v>0</v>
      </c>
      <c r="G148" s="32">
        <f t="shared" si="36"/>
        <v>0</v>
      </c>
      <c r="H148" s="30"/>
      <c r="I148" s="31"/>
      <c r="J148" s="42">
        <f t="shared" si="37"/>
        <v>0</v>
      </c>
      <c r="K148" s="24">
        <f t="shared" si="38"/>
        <v>0</v>
      </c>
      <c r="L148" s="22">
        <f t="shared" si="39"/>
        <v>0</v>
      </c>
      <c r="M148" s="24">
        <f t="shared" si="40"/>
        <v>0</v>
      </c>
    </row>
    <row r="149" spans="2:13" hidden="1" x14ac:dyDescent="0.55000000000000004">
      <c r="B149" s="29"/>
      <c r="C149" s="44" t="s">
        <v>178</v>
      </c>
      <c r="D149" s="31">
        <f>SUMIFS(database!$P:$P,database!$F:$F,calc!$C$134,database!$J:$J,C149,database!$B:$B,listbox!$D$3,database!$A:$A,listbox!$B$3)</f>
        <v>0</v>
      </c>
      <c r="E149" s="32">
        <f t="shared" si="35"/>
        <v>0</v>
      </c>
      <c r="F149" s="33">
        <f>SUMIFS(database!$Q:$Q,database!$F:$F,$C$134,database!$J:$J,calc!C149,database!$B:$B,listbox!$D$3,database!$A:$A,listbox!$B$3)</f>
        <v>0</v>
      </c>
      <c r="G149" s="32">
        <f t="shared" si="36"/>
        <v>0</v>
      </c>
      <c r="H149" s="30"/>
      <c r="I149" s="31"/>
      <c r="J149" s="42">
        <f t="shared" si="37"/>
        <v>0</v>
      </c>
      <c r="K149" s="24">
        <f t="shared" si="38"/>
        <v>0</v>
      </c>
      <c r="L149" s="22">
        <f t="shared" si="39"/>
        <v>0</v>
      </c>
      <c r="M149" s="24">
        <f t="shared" si="40"/>
        <v>0</v>
      </c>
    </row>
    <row r="150" spans="2:13" hidden="1" x14ac:dyDescent="0.55000000000000004">
      <c r="B150" s="29"/>
      <c r="C150" s="44" t="s">
        <v>179</v>
      </c>
      <c r="D150" s="31">
        <f>SUMIFS(database!$P:$P,database!$F:$F,calc!$C$134,database!$J:$J,C150,database!$B:$B,listbox!$D$3,database!$A:$A,listbox!$B$3)</f>
        <v>0</v>
      </c>
      <c r="E150" s="32">
        <f t="shared" si="35"/>
        <v>0</v>
      </c>
      <c r="F150" s="33">
        <f>SUMIFS(database!$Q:$Q,database!$F:$F,$C$134,database!$J:$J,calc!C150,database!$B:$B,listbox!$D$3,database!$A:$A,listbox!$B$3)</f>
        <v>0</v>
      </c>
      <c r="G150" s="32">
        <f t="shared" si="36"/>
        <v>0</v>
      </c>
      <c r="H150" s="30"/>
      <c r="I150" s="31"/>
      <c r="J150" s="42" t="str">
        <f t="shared" si="37"/>
        <v/>
      </c>
      <c r="K150" s="24" t="str">
        <f t="shared" si="38"/>
        <v/>
      </c>
      <c r="L150" s="22" t="str">
        <f t="shared" si="39"/>
        <v/>
      </c>
      <c r="M150" s="24" t="str">
        <f t="shared" si="40"/>
        <v/>
      </c>
    </row>
    <row r="151" spans="2:13" hidden="1" x14ac:dyDescent="0.55000000000000004">
      <c r="B151" s="29"/>
      <c r="C151" s="44" t="s">
        <v>180</v>
      </c>
      <c r="D151" s="31">
        <f>SUMIFS(database!$P:$P,database!$F:$F,calc!$C$134,database!$J:$J,C151,database!$B:$B,listbox!$D$3,database!$A:$A,listbox!$B$3)</f>
        <v>0</v>
      </c>
      <c r="E151" s="32">
        <f t="shared" si="35"/>
        <v>0</v>
      </c>
      <c r="F151" s="33">
        <f>SUMIFS(database!$Q:$Q,database!$F:$F,$C$134,database!$J:$J,calc!C151,database!$B:$B,listbox!$D$3,database!$A:$A,listbox!$B$3)</f>
        <v>0</v>
      </c>
      <c r="G151" s="32">
        <f t="shared" si="36"/>
        <v>0</v>
      </c>
      <c r="H151" s="30"/>
      <c r="I151" s="31"/>
      <c r="J151" s="42" t="str">
        <f t="shared" si="37"/>
        <v/>
      </c>
      <c r="K151" s="24" t="str">
        <f t="shared" si="38"/>
        <v/>
      </c>
      <c r="L151" s="22" t="str">
        <f t="shared" si="39"/>
        <v/>
      </c>
      <c r="M151" s="24" t="str">
        <f t="shared" si="40"/>
        <v/>
      </c>
    </row>
    <row r="152" spans="2:13" hidden="1" x14ac:dyDescent="0.55000000000000004">
      <c r="B152" s="29"/>
      <c r="C152" s="44" t="s">
        <v>181</v>
      </c>
      <c r="D152" s="31">
        <f>SUMIFS(database!$P:$P,database!$F:$F,calc!$C$134,database!$J:$J,C152,database!$B:$B,listbox!$D$3,database!$A:$A,listbox!$B$3)</f>
        <v>0</v>
      </c>
      <c r="E152" s="32">
        <f t="shared" si="35"/>
        <v>0</v>
      </c>
      <c r="F152" s="33">
        <f>SUMIFS(database!$Q:$Q,database!$F:$F,$C$134,database!$J:$J,calc!C152,database!$B:$B,listbox!$D$3,database!$A:$A,listbox!$B$3)</f>
        <v>0</v>
      </c>
      <c r="G152" s="32">
        <f t="shared" si="36"/>
        <v>0</v>
      </c>
      <c r="H152" s="30"/>
      <c r="I152" s="31"/>
      <c r="J152" s="42">
        <f t="shared" si="37"/>
        <v>0</v>
      </c>
      <c r="K152" s="24">
        <f t="shared" si="38"/>
        <v>0</v>
      </c>
      <c r="L152" s="22">
        <f t="shared" si="39"/>
        <v>0</v>
      </c>
      <c r="M152" s="24">
        <f t="shared" si="40"/>
        <v>0</v>
      </c>
    </row>
    <row r="153" spans="2:13" hidden="1" x14ac:dyDescent="0.55000000000000004">
      <c r="B153" s="29"/>
      <c r="C153" s="44" t="s">
        <v>165</v>
      </c>
      <c r="D153" s="31">
        <f>SUMIFS(database!$P:$P,database!$F:$F,calc!$C$134,database!$J:$J,C153,database!$B:$B,listbox!$D$3,database!$A:$A,listbox!$B$3)</f>
        <v>0</v>
      </c>
      <c r="E153" s="32">
        <f t="shared" si="35"/>
        <v>0</v>
      </c>
      <c r="F153" s="33">
        <f>SUMIFS(database!$Q:$Q,database!$F:$F,$C$134,database!$J:$J,calc!C153,database!$B:$B,listbox!$D$3,database!$A:$A,listbox!$B$3)</f>
        <v>0</v>
      </c>
      <c r="G153" s="32">
        <f t="shared" si="36"/>
        <v>0</v>
      </c>
      <c r="H153" s="30"/>
      <c r="I153" s="31"/>
      <c r="J153" s="42" t="str">
        <f t="shared" si="37"/>
        <v/>
      </c>
      <c r="K153" s="24" t="str">
        <f t="shared" si="38"/>
        <v/>
      </c>
      <c r="L153" s="22" t="str">
        <f t="shared" si="39"/>
        <v/>
      </c>
      <c r="M153" s="24" t="str">
        <f t="shared" si="40"/>
        <v/>
      </c>
    </row>
    <row r="154" spans="2:13" ht="24" x14ac:dyDescent="0.55000000000000004">
      <c r="B154" s="29"/>
      <c r="C154" s="51" t="s">
        <v>136</v>
      </c>
      <c r="D154" s="51">
        <f>SUM(D136:D153)</f>
        <v>368</v>
      </c>
      <c r="E154" s="49">
        <f>SUM(E136:E153)</f>
        <v>1</v>
      </c>
      <c r="F154" s="50">
        <f>SUM(F136:F153)</f>
        <v>24410936</v>
      </c>
      <c r="G154" s="49">
        <f>SUM(G136:G153)</f>
        <v>1</v>
      </c>
      <c r="H154" s="30"/>
      <c r="I154" s="31"/>
      <c r="J154" s="43">
        <f>SUM(J136:J153)</f>
        <v>122.66666666666667</v>
      </c>
      <c r="K154" s="21">
        <f>SUM(K136:K153)</f>
        <v>1</v>
      </c>
      <c r="L154" s="23">
        <f>SUM(L136:L153)</f>
        <v>8136978.666666667</v>
      </c>
      <c r="M154" s="21">
        <f>SUM(M136:M153)</f>
        <v>1</v>
      </c>
    </row>
    <row r="155" spans="2:13" x14ac:dyDescent="0.55000000000000004">
      <c r="B155" s="29"/>
      <c r="C155" s="31"/>
      <c r="D155" s="31"/>
      <c r="E155" s="31"/>
      <c r="F155" s="31"/>
      <c r="G155" s="31"/>
      <c r="H155" s="30"/>
      <c r="I155" s="31"/>
    </row>
    <row r="156" spans="2:13" x14ac:dyDescent="0.55000000000000004">
      <c r="B156" s="29"/>
      <c r="C156" s="31"/>
      <c r="D156" s="31"/>
      <c r="E156" s="31"/>
      <c r="F156" s="31"/>
      <c r="G156" s="31"/>
      <c r="H156" s="30"/>
      <c r="I156" s="31"/>
    </row>
    <row r="157" spans="2:13" ht="26.25" x14ac:dyDescent="0.55000000000000004">
      <c r="B157" s="29"/>
      <c r="C157" s="66" t="s">
        <v>4</v>
      </c>
      <c r="D157" s="66"/>
      <c r="E157" s="66"/>
      <c r="F157" s="66"/>
      <c r="G157" s="66"/>
      <c r="H157" s="30"/>
      <c r="I157" s="31"/>
    </row>
    <row r="158" spans="2:13" ht="24" x14ac:dyDescent="0.55000000000000004">
      <c r="B158" s="29"/>
      <c r="C158" s="48" t="s">
        <v>96</v>
      </c>
      <c r="D158" s="48" t="s">
        <v>160</v>
      </c>
      <c r="E158" s="48" t="s">
        <v>158</v>
      </c>
      <c r="F158" s="48" t="s">
        <v>115</v>
      </c>
      <c r="G158" s="48" t="s">
        <v>116</v>
      </c>
      <c r="H158" s="30"/>
      <c r="I158" s="31"/>
      <c r="J158" s="8" t="s">
        <v>161</v>
      </c>
      <c r="K158" s="8" t="s">
        <v>162</v>
      </c>
      <c r="L158" s="8" t="s">
        <v>163</v>
      </c>
      <c r="M158" s="8" t="s">
        <v>164</v>
      </c>
    </row>
    <row r="159" spans="2:13" hidden="1" x14ac:dyDescent="0.55000000000000004">
      <c r="B159" s="29"/>
      <c r="C159" s="44" t="s">
        <v>185</v>
      </c>
      <c r="D159" s="31">
        <f>SUMIFS(database!$P:$P,database!$F:$F,calc!$C$157,database!$J:$J,C159,database!$B:$B,listbox!$D$3,database!$A:$A,listbox!$B$3)</f>
        <v>0</v>
      </c>
      <c r="E159" s="32" t="str">
        <f>IFERROR(D159/$D$167,"")</f>
        <v/>
      </c>
      <c r="F159" s="33">
        <f>SUMIFS(database!$Q:$Q,database!$F:$F,$C$157,database!$J:$J,calc!C159,database!$B:$B,listbox!$D$3,database!$A:$A,listbox!$B$3)</f>
        <v>0</v>
      </c>
      <c r="G159" s="32" t="str">
        <f>IFERROR(F159/$F$167,"")</f>
        <v/>
      </c>
      <c r="H159" s="30"/>
      <c r="I159" s="31"/>
      <c r="J159" s="42">
        <f>IFERROR(D159/D5,"")</f>
        <v>0</v>
      </c>
      <c r="K159" s="24" t="str">
        <f>IFERROR(J159/$J$167,"")</f>
        <v/>
      </c>
      <c r="L159" s="22" t="str">
        <f>IFERROR(F159/D28,"")</f>
        <v/>
      </c>
      <c r="M159" s="24" t="str">
        <f>IFERROR(L159/$L$167,"")</f>
        <v/>
      </c>
    </row>
    <row r="160" spans="2:13" hidden="1" x14ac:dyDescent="0.55000000000000004">
      <c r="B160" s="29"/>
      <c r="C160" s="44" t="s">
        <v>186</v>
      </c>
      <c r="D160" s="31">
        <f>SUMIFS(database!$P:$P,database!$F:$F,calc!$C$157,database!$J:$J,C160,database!$B:$B,listbox!$D$3,database!$A:$A,listbox!$B$3)</f>
        <v>0</v>
      </c>
      <c r="E160" s="32" t="str">
        <f t="shared" ref="E160:E166" si="41">IFERROR(D160/$D$167,"")</f>
        <v/>
      </c>
      <c r="F160" s="33">
        <f>SUMIFS(database!$Q:$Q,database!$F:$F,$C$157,database!$J:$J,calc!C160,database!$B:$B,listbox!$D$3,database!$A:$A,listbox!$B$3)</f>
        <v>0</v>
      </c>
      <c r="G160" s="32" t="str">
        <f t="shared" ref="G160:G166" si="42">IFERROR(F160/$F$167,"")</f>
        <v/>
      </c>
      <c r="H160" s="30"/>
      <c r="I160" s="31"/>
      <c r="J160" s="42">
        <f t="shared" ref="J160:J166" si="43">IFERROR(D160/D6,"")</f>
        <v>0</v>
      </c>
      <c r="K160" s="24" t="str">
        <f t="shared" ref="K160:K166" si="44">IFERROR(J160/$J$167,"")</f>
        <v/>
      </c>
      <c r="L160" s="22">
        <f t="shared" ref="L160:L166" si="45">IFERROR(F160/D29,"")</f>
        <v>0</v>
      </c>
      <c r="M160" s="24" t="str">
        <f t="shared" ref="M160:M166" si="46">IFERROR(L160/$L$167,"")</f>
        <v/>
      </c>
    </row>
    <row r="161" spans="2:16" hidden="1" x14ac:dyDescent="0.55000000000000004">
      <c r="B161" s="29"/>
      <c r="C161" s="44" t="s">
        <v>187</v>
      </c>
      <c r="D161" s="31">
        <f>SUMIFS(database!$P:$P,database!$F:$F,calc!$C$157,database!$J:$J,C161,database!$B:$B,listbox!$D$3,database!$A:$A,listbox!$B$3)</f>
        <v>0</v>
      </c>
      <c r="E161" s="32" t="str">
        <f t="shared" si="41"/>
        <v/>
      </c>
      <c r="F161" s="33">
        <f>SUMIFS(database!$Q:$Q,database!$F:$F,$C$157,database!$J:$J,calc!C161,database!$B:$B,listbox!$D$3,database!$A:$A,listbox!$B$3)</f>
        <v>0</v>
      </c>
      <c r="G161" s="32" t="str">
        <f t="shared" si="42"/>
        <v/>
      </c>
      <c r="H161" s="30"/>
      <c r="I161" s="31"/>
      <c r="J161" s="42" t="str">
        <f t="shared" si="43"/>
        <v/>
      </c>
      <c r="K161" s="24" t="str">
        <f t="shared" si="44"/>
        <v/>
      </c>
      <c r="L161" s="22" t="str">
        <f t="shared" si="45"/>
        <v/>
      </c>
      <c r="M161" s="24" t="str">
        <f t="shared" si="46"/>
        <v/>
      </c>
    </row>
    <row r="162" spans="2:16" hidden="1" x14ac:dyDescent="0.55000000000000004">
      <c r="B162" s="29"/>
      <c r="C162" s="44" t="s">
        <v>188</v>
      </c>
      <c r="D162" s="31">
        <f>SUMIFS(database!$P:$P,database!$F:$F,calc!$C$157,database!$J:$J,C162,database!$B:$B,listbox!$D$3,database!$A:$A,listbox!$B$3)</f>
        <v>0</v>
      </c>
      <c r="E162" s="32" t="str">
        <f t="shared" si="41"/>
        <v/>
      </c>
      <c r="F162" s="33">
        <f>SUMIFS(database!$Q:$Q,database!$F:$F,$C$157,database!$J:$J,calc!C162,database!$B:$B,listbox!$D$3,database!$A:$A,listbox!$B$3)</f>
        <v>0</v>
      </c>
      <c r="G162" s="32" t="str">
        <f t="shared" si="42"/>
        <v/>
      </c>
      <c r="H162" s="30"/>
      <c r="I162" s="31"/>
      <c r="J162" s="42">
        <f t="shared" si="43"/>
        <v>0</v>
      </c>
      <c r="K162" s="24" t="str">
        <f t="shared" si="44"/>
        <v/>
      </c>
      <c r="L162" s="22" t="str">
        <f t="shared" si="45"/>
        <v/>
      </c>
      <c r="M162" s="24" t="str">
        <f t="shared" si="46"/>
        <v/>
      </c>
    </row>
    <row r="163" spans="2:16" hidden="1" x14ac:dyDescent="0.55000000000000004">
      <c r="B163" s="29"/>
      <c r="C163" s="44" t="s">
        <v>189</v>
      </c>
      <c r="D163" s="31">
        <f>SUMIFS(database!$P:$P,database!$F:$F,calc!$C$157,database!$J:$J,C163,database!$B:$B,listbox!$D$3,database!$A:$A,listbox!$B$3)</f>
        <v>0</v>
      </c>
      <c r="E163" s="32" t="str">
        <f t="shared" si="41"/>
        <v/>
      </c>
      <c r="F163" s="33">
        <f>SUMIFS(database!$Q:$Q,database!$F:$F,$C$157,database!$J:$J,calc!C163,database!$B:$B,listbox!$D$3,database!$A:$A,listbox!$B$3)</f>
        <v>0</v>
      </c>
      <c r="G163" s="32" t="str">
        <f t="shared" si="42"/>
        <v/>
      </c>
      <c r="H163" s="30"/>
      <c r="I163" s="31"/>
      <c r="J163" s="42" t="str">
        <f t="shared" si="43"/>
        <v/>
      </c>
      <c r="K163" s="24" t="str">
        <f t="shared" si="44"/>
        <v/>
      </c>
      <c r="L163" s="22">
        <f t="shared" si="45"/>
        <v>0</v>
      </c>
      <c r="M163" s="24" t="str">
        <f t="shared" si="46"/>
        <v/>
      </c>
    </row>
    <row r="164" spans="2:16" hidden="1" x14ac:dyDescent="0.55000000000000004">
      <c r="B164" s="29"/>
      <c r="C164" s="44" t="s">
        <v>192</v>
      </c>
      <c r="D164" s="31">
        <f>SUMIFS(database!$P:$P,database!$F:$F,calc!$C$157,database!$J:$J,C164,database!$B:$B,listbox!$D$3,database!$A:$A,listbox!$B$3)</f>
        <v>0</v>
      </c>
      <c r="E164" s="32" t="str">
        <f t="shared" si="41"/>
        <v/>
      </c>
      <c r="F164" s="33">
        <f>SUMIFS(database!$Q:$Q,database!$F:$F,$C$157,database!$J:$J,calc!C164,database!$B:$B,listbox!$D$3,database!$A:$A,listbox!$B$3)</f>
        <v>0</v>
      </c>
      <c r="G164" s="32" t="str">
        <f t="shared" si="42"/>
        <v/>
      </c>
      <c r="H164" s="30"/>
      <c r="I164" s="31"/>
      <c r="J164" s="42">
        <f t="shared" si="43"/>
        <v>0</v>
      </c>
      <c r="K164" s="24" t="str">
        <f t="shared" si="44"/>
        <v/>
      </c>
      <c r="L164" s="22" t="str">
        <f t="shared" si="45"/>
        <v/>
      </c>
      <c r="M164" s="24" t="str">
        <f t="shared" si="46"/>
        <v/>
      </c>
    </row>
    <row r="165" spans="2:16" hidden="1" x14ac:dyDescent="0.55000000000000004">
      <c r="B165" s="29"/>
      <c r="C165" s="44" t="s">
        <v>190</v>
      </c>
      <c r="D165" s="31">
        <f>SUMIFS(database!$P:$P,database!$F:$F,calc!$C$157,database!$J:$J,C165,database!$B:$B,listbox!$D$3,database!$A:$A,listbox!$B$3)</f>
        <v>0</v>
      </c>
      <c r="E165" s="32" t="str">
        <f t="shared" si="41"/>
        <v/>
      </c>
      <c r="F165" s="33">
        <f>SUMIFS(database!$Q:$Q,database!$F:$F,$C$157,database!$J:$J,calc!C165,database!$B:$B,listbox!$D$3,database!$A:$A,listbox!$B$3)</f>
        <v>0</v>
      </c>
      <c r="G165" s="32" t="str">
        <f t="shared" si="42"/>
        <v/>
      </c>
      <c r="H165" s="30"/>
      <c r="I165" s="31"/>
      <c r="J165" s="42">
        <f t="shared" si="43"/>
        <v>0</v>
      </c>
      <c r="K165" s="24" t="str">
        <f t="shared" si="44"/>
        <v/>
      </c>
      <c r="L165" s="22">
        <f t="shared" si="45"/>
        <v>0</v>
      </c>
      <c r="M165" s="24" t="str">
        <f t="shared" si="46"/>
        <v/>
      </c>
    </row>
    <row r="166" spans="2:16" hidden="1" x14ac:dyDescent="0.55000000000000004">
      <c r="B166" s="29"/>
      <c r="C166" s="44" t="s">
        <v>191</v>
      </c>
      <c r="D166" s="31">
        <f>SUMIFS(database!$P:$P,database!$F:$F,calc!$C$157,database!$J:$J,C166,database!$B:$B,listbox!$D$3,database!$A:$A,listbox!$B$3)</f>
        <v>0</v>
      </c>
      <c r="E166" s="32" t="str">
        <f t="shared" si="41"/>
        <v/>
      </c>
      <c r="F166" s="33">
        <f>SUMIFS(database!$Q:$Q,database!$F:$F,$C$157,database!$J:$J,calc!C166,database!$B:$B,listbox!$D$3,database!$A:$A,listbox!$B$3)</f>
        <v>0</v>
      </c>
      <c r="G166" s="32" t="str">
        <f t="shared" si="42"/>
        <v/>
      </c>
      <c r="H166" s="30"/>
      <c r="I166" s="31"/>
      <c r="J166" s="42" t="str">
        <f t="shared" si="43"/>
        <v/>
      </c>
      <c r="K166" s="24" t="str">
        <f t="shared" si="44"/>
        <v/>
      </c>
      <c r="L166" s="22">
        <f t="shared" si="45"/>
        <v>0</v>
      </c>
      <c r="M166" s="24" t="str">
        <f t="shared" si="46"/>
        <v/>
      </c>
    </row>
    <row r="167" spans="2:16" ht="24" hidden="1" x14ac:dyDescent="0.55000000000000004">
      <c r="B167" s="29"/>
      <c r="C167" s="51" t="s">
        <v>136</v>
      </c>
      <c r="D167" s="51">
        <f>SUM(D159:D166)</f>
        <v>0</v>
      </c>
      <c r="E167" s="49">
        <f>SUM(E159:E166)</f>
        <v>0</v>
      </c>
      <c r="F167" s="50">
        <f t="shared" ref="F167" si="47">SUM(F159:F166)</f>
        <v>0</v>
      </c>
      <c r="G167" s="49">
        <f>SUM(G159:G166)</f>
        <v>0</v>
      </c>
      <c r="H167" s="30"/>
      <c r="I167" s="31"/>
      <c r="J167" s="19">
        <f>SUM(J159:J166)</f>
        <v>0</v>
      </c>
      <c r="K167" s="21">
        <f>SUM(K159:K166)</f>
        <v>0</v>
      </c>
      <c r="L167" s="23">
        <f t="shared" ref="L167" si="48">SUM(L159:L166)</f>
        <v>0</v>
      </c>
      <c r="M167" s="21">
        <f t="shared" ref="M167" si="49">SUM(M159:M166)</f>
        <v>0</v>
      </c>
    </row>
    <row r="168" spans="2:16" ht="23.25" thickBot="1" x14ac:dyDescent="0.6">
      <c r="B168" s="35"/>
      <c r="C168" s="36"/>
      <c r="D168" s="36"/>
      <c r="E168" s="36"/>
      <c r="F168" s="36"/>
      <c r="G168" s="36"/>
      <c r="H168" s="37"/>
      <c r="I168" s="31"/>
    </row>
    <row r="169" spans="2:16" x14ac:dyDescent="0.55000000000000004">
      <c r="I169" s="31"/>
    </row>
    <row r="170" spans="2:16" x14ac:dyDescent="0.55000000000000004">
      <c r="I170" s="31"/>
    </row>
    <row r="171" spans="2:16" ht="23.25" thickBot="1" x14ac:dyDescent="0.6">
      <c r="C171" s="67" t="s">
        <v>146</v>
      </c>
      <c r="I171" s="31"/>
      <c r="P171" s="22"/>
    </row>
    <row r="172" spans="2:16" x14ac:dyDescent="0.55000000000000004">
      <c r="B172" s="26"/>
      <c r="C172" s="67"/>
      <c r="D172" s="27"/>
      <c r="E172" s="27"/>
      <c r="F172" s="27"/>
      <c r="G172" s="27"/>
      <c r="H172" s="28"/>
      <c r="P172" s="22"/>
    </row>
    <row r="173" spans="2:16" ht="26.25" x14ac:dyDescent="0.55000000000000004">
      <c r="B173" s="29"/>
      <c r="C173" s="68" t="s">
        <v>3</v>
      </c>
      <c r="D173" s="68"/>
      <c r="E173" s="68"/>
      <c r="F173" s="68"/>
      <c r="G173" s="68"/>
      <c r="H173" s="30"/>
      <c r="P173" s="22"/>
    </row>
    <row r="174" spans="2:16" ht="24" x14ac:dyDescent="0.55000000000000004">
      <c r="B174" s="29"/>
      <c r="C174" s="48" t="s">
        <v>96</v>
      </c>
      <c r="D174" s="61" t="s">
        <v>216</v>
      </c>
      <c r="E174" s="48" t="s">
        <v>207</v>
      </c>
      <c r="F174" s="48" t="s">
        <v>115</v>
      </c>
      <c r="G174" s="48" t="s">
        <v>116</v>
      </c>
      <c r="H174" s="30"/>
      <c r="J174" s="8" t="s">
        <v>163</v>
      </c>
      <c r="K174" s="8" t="s">
        <v>164</v>
      </c>
      <c r="P174" s="22"/>
    </row>
    <row r="175" spans="2:16" hidden="1" x14ac:dyDescent="0.55000000000000004">
      <c r="B175" s="29"/>
      <c r="C175" s="44" t="s">
        <v>166</v>
      </c>
      <c r="D175" s="31">
        <f>SUMIFS(database!$R:$R,database!$F:$F,calc!$C$173,database!$J:$J,calc!C175,database!$B:$B,listbox!$D$3,database!$A:$A,listbox!$B$3)</f>
        <v>0</v>
      </c>
      <c r="E175" s="32"/>
      <c r="F175" s="33">
        <f>SUMIFS(database!$S:$S,database!$F:$F,calc!$C$173,database!$J:$J,calc!C175,database!$B:$B,listbox!$D$3,database!$A:$A,listbox!$B$3)</f>
        <v>0</v>
      </c>
      <c r="G175" s="32" t="str">
        <f t="shared" ref="G175:G192" si="50">IFERROR(F175/$F$193,"")</f>
        <v/>
      </c>
      <c r="H175" s="30"/>
      <c r="I175" s="31"/>
      <c r="J175" s="22">
        <f t="shared" ref="J175:J192" si="51">IFERROR(F175/D5,"")</f>
        <v>0</v>
      </c>
      <c r="K175" s="24" t="str">
        <f>IFERROR(J175/$J$193,"")</f>
        <v/>
      </c>
      <c r="P175" s="22"/>
    </row>
    <row r="176" spans="2:16" hidden="1" x14ac:dyDescent="0.55000000000000004">
      <c r="B176" s="29"/>
      <c r="C176" s="44" t="s">
        <v>167</v>
      </c>
      <c r="D176" s="31">
        <f>SUMIFS(database!$R:$R,database!$F:$F,calc!$C$173,database!$J:$J,calc!C176,database!$B:$B,listbox!$D$3,database!$A:$A,listbox!$B$3)</f>
        <v>0</v>
      </c>
      <c r="E176" s="32"/>
      <c r="F176" s="33">
        <f>SUMIFS(database!$S:$S,database!$F:$F,calc!$C$173,database!$J:$J,calc!C176,database!$B:$B,listbox!$D$3,database!$A:$A,listbox!$B$3)</f>
        <v>0</v>
      </c>
      <c r="G176" s="32" t="str">
        <f t="shared" si="50"/>
        <v/>
      </c>
      <c r="H176" s="30"/>
      <c r="I176" s="31"/>
      <c r="J176" s="22">
        <f t="shared" si="51"/>
        <v>0</v>
      </c>
      <c r="K176" s="24" t="str">
        <f t="shared" ref="K176:K192" si="52">IFERROR(J176/$J$193,"")</f>
        <v/>
      </c>
      <c r="P176" s="22"/>
    </row>
    <row r="177" spans="2:16" hidden="1" x14ac:dyDescent="0.55000000000000004">
      <c r="B177" s="29"/>
      <c r="C177" s="44" t="s">
        <v>168</v>
      </c>
      <c r="D177" s="31">
        <f>SUMIFS(database!$R:$R,database!$F:$F,calc!$C$173,database!$J:$J,calc!C177,database!$B:$B,listbox!$D$3,database!$A:$A,listbox!$B$3)</f>
        <v>0</v>
      </c>
      <c r="E177" s="32"/>
      <c r="F177" s="33">
        <f>SUMIFS(database!$S:$S,database!$F:$F,calc!$C$173,database!$J:$J,calc!C177,database!$B:$B,listbox!$D$3,database!$A:$A,listbox!$B$3)</f>
        <v>0</v>
      </c>
      <c r="G177" s="32" t="str">
        <f t="shared" si="50"/>
        <v/>
      </c>
      <c r="H177" s="30"/>
      <c r="I177" s="31"/>
      <c r="J177" s="22" t="str">
        <f t="shared" si="51"/>
        <v/>
      </c>
      <c r="K177" s="24" t="str">
        <f t="shared" si="52"/>
        <v/>
      </c>
      <c r="P177" s="22"/>
    </row>
    <row r="178" spans="2:16" hidden="1" x14ac:dyDescent="0.55000000000000004">
      <c r="B178" s="29"/>
      <c r="C178" s="44" t="s">
        <v>169</v>
      </c>
      <c r="D178" s="31">
        <f>SUMIFS(database!$R:$R,database!$F:$F,calc!$C$173,database!$J:$J,calc!C178,database!$B:$B,listbox!$D$3,database!$A:$A,listbox!$B$3)</f>
        <v>0</v>
      </c>
      <c r="E178" s="32"/>
      <c r="F178" s="33">
        <f>SUMIFS(database!$S:$S,database!$F:$F,calc!$C$173,database!$J:$J,calc!C178,database!$B:$B,listbox!$D$3,database!$A:$A,listbox!$B$3)</f>
        <v>0</v>
      </c>
      <c r="G178" s="32" t="str">
        <f t="shared" si="50"/>
        <v/>
      </c>
      <c r="H178" s="30"/>
      <c r="I178" s="31"/>
      <c r="J178" s="22">
        <f t="shared" si="51"/>
        <v>0</v>
      </c>
      <c r="K178" s="24" t="str">
        <f t="shared" si="52"/>
        <v/>
      </c>
      <c r="P178" s="22"/>
    </row>
    <row r="179" spans="2:16" hidden="1" x14ac:dyDescent="0.55000000000000004">
      <c r="B179" s="29"/>
      <c r="C179" s="44" t="s">
        <v>170</v>
      </c>
      <c r="D179" s="31">
        <f>SUMIFS(database!$R:$R,database!$F:$F,calc!$C$173,database!$J:$J,calc!C179,database!$B:$B,listbox!$D$3,database!$A:$A,listbox!$B$3)</f>
        <v>0</v>
      </c>
      <c r="E179" s="32"/>
      <c r="F179" s="33">
        <f>SUMIFS(database!$S:$S,database!$F:$F,calc!$C$173,database!$J:$J,calc!C179,database!$B:$B,listbox!$D$3,database!$A:$A,listbox!$B$3)</f>
        <v>0</v>
      </c>
      <c r="G179" s="32" t="str">
        <f t="shared" si="50"/>
        <v/>
      </c>
      <c r="H179" s="30"/>
      <c r="I179" s="31"/>
      <c r="J179" s="22" t="str">
        <f t="shared" si="51"/>
        <v/>
      </c>
      <c r="K179" s="24" t="str">
        <f t="shared" si="52"/>
        <v/>
      </c>
      <c r="P179" s="22"/>
    </row>
    <row r="180" spans="2:16" hidden="1" x14ac:dyDescent="0.55000000000000004">
      <c r="B180" s="29"/>
      <c r="C180" s="44" t="s">
        <v>171</v>
      </c>
      <c r="D180" s="31">
        <f>SUMIFS(database!$R:$R,database!$F:$F,calc!$C$173,database!$J:$J,calc!C180,database!$B:$B,listbox!$D$3,database!$A:$A,listbox!$B$3)</f>
        <v>0</v>
      </c>
      <c r="E180" s="32"/>
      <c r="F180" s="33">
        <f>SUMIFS(database!$S:$S,database!$F:$F,calc!$C$173,database!$J:$J,calc!C180,database!$B:$B,listbox!$D$3,database!$A:$A,listbox!$B$3)</f>
        <v>0</v>
      </c>
      <c r="G180" s="32" t="str">
        <f t="shared" si="50"/>
        <v/>
      </c>
      <c r="H180" s="30"/>
      <c r="I180" s="31"/>
      <c r="J180" s="22">
        <f t="shared" si="51"/>
        <v>0</v>
      </c>
      <c r="K180" s="24" t="str">
        <f t="shared" si="52"/>
        <v/>
      </c>
      <c r="P180" s="22"/>
    </row>
    <row r="181" spans="2:16" hidden="1" x14ac:dyDescent="0.55000000000000004">
      <c r="B181" s="29"/>
      <c r="C181" s="44" t="s">
        <v>193</v>
      </c>
      <c r="D181" s="31">
        <f>SUMIFS(database!$R:$R,database!$F:$F,calc!$C$173,database!$J:$J,calc!C181,database!$B:$B,listbox!$D$3,database!$A:$A,listbox!$B$3)</f>
        <v>0</v>
      </c>
      <c r="E181" s="32"/>
      <c r="F181" s="33">
        <f>SUMIFS(database!$S:$S,database!$F:$F,calc!$C$173,database!$J:$J,calc!C181,database!$B:$B,listbox!$D$3,database!$A:$A,listbox!$B$3)</f>
        <v>0</v>
      </c>
      <c r="G181" s="32" t="str">
        <f t="shared" si="50"/>
        <v/>
      </c>
      <c r="H181" s="30"/>
      <c r="I181" s="31"/>
      <c r="J181" s="22">
        <f t="shared" si="51"/>
        <v>0</v>
      </c>
      <c r="K181" s="24" t="str">
        <f t="shared" si="52"/>
        <v/>
      </c>
      <c r="P181" s="22"/>
    </row>
    <row r="182" spans="2:16" hidden="1" x14ac:dyDescent="0.55000000000000004">
      <c r="B182" s="29"/>
      <c r="C182" s="44" t="s">
        <v>172</v>
      </c>
      <c r="D182" s="31">
        <f>SUMIFS(database!$R:$R,database!$F:$F,calc!$C$173,database!$J:$J,calc!C182,database!$B:$B,listbox!$D$3,database!$A:$A,listbox!$B$3)</f>
        <v>0</v>
      </c>
      <c r="E182" s="32"/>
      <c r="F182" s="33">
        <f>SUMIFS(database!$S:$S,database!$F:$F,calc!$C$173,database!$J:$J,calc!C182,database!$B:$B,listbox!$D$3,database!$A:$A,listbox!$B$3)</f>
        <v>0</v>
      </c>
      <c r="G182" s="32" t="str">
        <f t="shared" si="50"/>
        <v/>
      </c>
      <c r="H182" s="30"/>
      <c r="I182" s="31"/>
      <c r="J182" s="22" t="str">
        <f t="shared" si="51"/>
        <v/>
      </c>
      <c r="K182" s="24" t="str">
        <f t="shared" si="52"/>
        <v/>
      </c>
      <c r="P182" s="22"/>
    </row>
    <row r="183" spans="2:16" hidden="1" x14ac:dyDescent="0.55000000000000004">
      <c r="B183" s="29"/>
      <c r="C183" s="44" t="s">
        <v>173</v>
      </c>
      <c r="D183" s="31">
        <f>SUMIFS(database!$R:$R,database!$F:$F,calc!$C$173,database!$J:$J,calc!C183,database!$B:$B,listbox!$D$3,database!$A:$A,listbox!$B$3)</f>
        <v>0</v>
      </c>
      <c r="E183" s="32"/>
      <c r="F183" s="33">
        <f>SUMIFS(database!$S:$S,database!$F:$F,calc!$C$173,database!$J:$J,calc!C183,database!$B:$B,listbox!$D$3,database!$A:$A,listbox!$B$3)</f>
        <v>0</v>
      </c>
      <c r="G183" s="32" t="str">
        <f t="shared" si="50"/>
        <v/>
      </c>
      <c r="H183" s="30"/>
      <c r="I183" s="31"/>
      <c r="J183" s="22">
        <f t="shared" si="51"/>
        <v>0</v>
      </c>
      <c r="K183" s="24" t="str">
        <f t="shared" si="52"/>
        <v/>
      </c>
      <c r="P183" s="22"/>
    </row>
    <row r="184" spans="2:16" hidden="1" x14ac:dyDescent="0.55000000000000004">
      <c r="B184" s="29"/>
      <c r="C184" s="44" t="s">
        <v>174</v>
      </c>
      <c r="D184" s="31">
        <f>SUMIFS(database!$R:$R,database!$F:$F,calc!$C$173,database!$J:$J,calc!C184,database!$B:$B,listbox!$D$3,database!$A:$A,listbox!$B$3)</f>
        <v>0</v>
      </c>
      <c r="E184" s="32"/>
      <c r="F184" s="33">
        <f>SUMIFS(database!$S:$S,database!$F:$F,calc!$C$173,database!$J:$J,calc!C184,database!$B:$B,listbox!$D$3,database!$A:$A,listbox!$B$3)</f>
        <v>0</v>
      </c>
      <c r="G184" s="32" t="str">
        <f t="shared" si="50"/>
        <v/>
      </c>
      <c r="H184" s="30"/>
      <c r="I184" s="31"/>
      <c r="J184" s="22" t="str">
        <f t="shared" si="51"/>
        <v/>
      </c>
      <c r="K184" s="24" t="str">
        <f t="shared" si="52"/>
        <v/>
      </c>
      <c r="P184" s="22"/>
    </row>
    <row r="185" spans="2:16" hidden="1" x14ac:dyDescent="0.55000000000000004">
      <c r="B185" s="29"/>
      <c r="C185" s="44" t="s">
        <v>175</v>
      </c>
      <c r="D185" s="31">
        <f>SUMIFS(database!$R:$R,database!$F:$F,calc!$C$173,database!$J:$J,calc!C185,database!$B:$B,listbox!$D$3,database!$A:$A,listbox!$B$3)</f>
        <v>0</v>
      </c>
      <c r="E185" s="32"/>
      <c r="F185" s="33">
        <f>SUMIFS(database!$S:$S,database!$F:$F,calc!$C$173,database!$J:$J,calc!C185,database!$B:$B,listbox!$D$3,database!$A:$A,listbox!$B$3)</f>
        <v>0</v>
      </c>
      <c r="G185" s="32" t="str">
        <f t="shared" si="50"/>
        <v/>
      </c>
      <c r="H185" s="30"/>
      <c r="I185" s="31"/>
      <c r="J185" s="22" t="str">
        <f t="shared" si="51"/>
        <v/>
      </c>
      <c r="K185" s="24" t="str">
        <f t="shared" si="52"/>
        <v/>
      </c>
      <c r="P185" s="22"/>
    </row>
    <row r="186" spans="2:16" hidden="1" x14ac:dyDescent="0.55000000000000004">
      <c r="B186" s="29"/>
      <c r="C186" s="44" t="s">
        <v>176</v>
      </c>
      <c r="D186" s="31">
        <f>SUMIFS(database!$R:$R,database!$F:$F,calc!$C$173,database!$J:$J,calc!C186,database!$B:$B,listbox!$D$3,database!$A:$A,listbox!$B$3)</f>
        <v>0</v>
      </c>
      <c r="E186" s="32"/>
      <c r="F186" s="33">
        <f>SUMIFS(database!$S:$S,database!$F:$F,calc!$C$173,database!$J:$J,calc!C186,database!$B:$B,listbox!$D$3,database!$A:$A,listbox!$B$3)</f>
        <v>0</v>
      </c>
      <c r="G186" s="32" t="str">
        <f t="shared" si="50"/>
        <v/>
      </c>
      <c r="H186" s="30"/>
      <c r="I186" s="31"/>
      <c r="J186" s="22">
        <f t="shared" si="51"/>
        <v>0</v>
      </c>
      <c r="K186" s="24" t="str">
        <f t="shared" si="52"/>
        <v/>
      </c>
      <c r="P186" s="22"/>
    </row>
    <row r="187" spans="2:16" hidden="1" x14ac:dyDescent="0.55000000000000004">
      <c r="B187" s="29"/>
      <c r="C187" s="44" t="s">
        <v>177</v>
      </c>
      <c r="D187" s="31">
        <f>SUMIFS(database!$R:$R,database!$F:$F,calc!$C$173,database!$J:$J,calc!C187,database!$B:$B,listbox!$D$3,database!$A:$A,listbox!$B$3)</f>
        <v>0</v>
      </c>
      <c r="E187" s="32"/>
      <c r="F187" s="33">
        <f>SUMIFS(database!$S:$S,database!$F:$F,calc!$C$173,database!$J:$J,calc!C187,database!$B:$B,listbox!$D$3,database!$A:$A,listbox!$B$3)</f>
        <v>0</v>
      </c>
      <c r="G187" s="32" t="str">
        <f t="shared" si="50"/>
        <v/>
      </c>
      <c r="H187" s="30"/>
      <c r="I187" s="31"/>
      <c r="J187" s="22">
        <f t="shared" si="51"/>
        <v>0</v>
      </c>
      <c r="K187" s="24" t="str">
        <f t="shared" si="52"/>
        <v/>
      </c>
      <c r="P187" s="22"/>
    </row>
    <row r="188" spans="2:16" hidden="1" x14ac:dyDescent="0.55000000000000004">
      <c r="B188" s="29"/>
      <c r="C188" s="44" t="s">
        <v>178</v>
      </c>
      <c r="D188" s="31">
        <f>SUMIFS(database!$R:$R,database!$F:$F,calc!$C$173,database!$J:$J,calc!C188,database!$B:$B,listbox!$D$3,database!$A:$A,listbox!$B$3)</f>
        <v>0</v>
      </c>
      <c r="E188" s="32"/>
      <c r="F188" s="33">
        <f>SUMIFS(database!$S:$S,database!$F:$F,calc!$C$173,database!$J:$J,calc!C188,database!$B:$B,listbox!$D$3,database!$A:$A,listbox!$B$3)</f>
        <v>0</v>
      </c>
      <c r="G188" s="32" t="str">
        <f t="shared" si="50"/>
        <v/>
      </c>
      <c r="H188" s="30"/>
      <c r="I188" s="31"/>
      <c r="J188" s="22">
        <f t="shared" si="51"/>
        <v>0</v>
      </c>
      <c r="K188" s="24" t="str">
        <f t="shared" si="52"/>
        <v/>
      </c>
      <c r="P188" s="22"/>
    </row>
    <row r="189" spans="2:16" hidden="1" x14ac:dyDescent="0.55000000000000004">
      <c r="B189" s="29"/>
      <c r="C189" s="44" t="s">
        <v>179</v>
      </c>
      <c r="D189" s="31">
        <f>SUMIFS(database!$R:$R,database!$F:$F,calc!$C$173,database!$J:$J,calc!C189,database!$B:$B,listbox!$D$3,database!$A:$A,listbox!$B$3)</f>
        <v>0</v>
      </c>
      <c r="E189" s="32"/>
      <c r="F189" s="33">
        <f>SUMIFS(database!$S:$S,database!$F:$F,calc!$C$173,database!$J:$J,calc!C189,database!$B:$B,listbox!$D$3,database!$A:$A,listbox!$B$3)</f>
        <v>0</v>
      </c>
      <c r="G189" s="32" t="str">
        <f t="shared" si="50"/>
        <v/>
      </c>
      <c r="H189" s="30"/>
      <c r="I189" s="31"/>
      <c r="J189" s="22" t="str">
        <f t="shared" si="51"/>
        <v/>
      </c>
      <c r="K189" s="24" t="str">
        <f t="shared" si="52"/>
        <v/>
      </c>
      <c r="P189" s="22"/>
    </row>
    <row r="190" spans="2:16" hidden="1" x14ac:dyDescent="0.55000000000000004">
      <c r="B190" s="29"/>
      <c r="C190" s="44" t="s">
        <v>180</v>
      </c>
      <c r="D190" s="31">
        <f>SUMIFS(database!$R:$R,database!$F:$F,calc!$C$173,database!$J:$J,calc!C190,database!$B:$B,listbox!$D$3,database!$A:$A,listbox!$B$3)</f>
        <v>0</v>
      </c>
      <c r="E190" s="32"/>
      <c r="F190" s="33">
        <f>SUMIFS(database!$S:$S,database!$F:$F,calc!$C$173,database!$J:$J,calc!C190,database!$B:$B,listbox!$D$3,database!$A:$A,listbox!$B$3)</f>
        <v>0</v>
      </c>
      <c r="G190" s="32" t="str">
        <f t="shared" si="50"/>
        <v/>
      </c>
      <c r="H190" s="30"/>
      <c r="I190" s="31"/>
      <c r="J190" s="22" t="str">
        <f t="shared" si="51"/>
        <v/>
      </c>
      <c r="K190" s="24" t="str">
        <f t="shared" si="52"/>
        <v/>
      </c>
      <c r="P190" s="22"/>
    </row>
    <row r="191" spans="2:16" hidden="1" x14ac:dyDescent="0.55000000000000004">
      <c r="B191" s="29"/>
      <c r="C191" s="44" t="s">
        <v>181</v>
      </c>
      <c r="D191" s="31">
        <f>SUMIFS(database!$R:$R,database!$F:$F,calc!$C$173,database!$J:$J,calc!C191,database!$B:$B,listbox!$D$3,database!$A:$A,listbox!$B$3)</f>
        <v>0</v>
      </c>
      <c r="E191" s="32"/>
      <c r="F191" s="33">
        <f>SUMIFS(database!$S:$S,database!$F:$F,calc!$C$173,database!$J:$J,calc!C191,database!$B:$B,listbox!$D$3,database!$A:$A,listbox!$B$3)</f>
        <v>0</v>
      </c>
      <c r="G191" s="32" t="str">
        <f t="shared" si="50"/>
        <v/>
      </c>
      <c r="H191" s="30"/>
      <c r="I191" s="31"/>
      <c r="J191" s="22">
        <f t="shared" si="51"/>
        <v>0</v>
      </c>
      <c r="K191" s="24" t="str">
        <f t="shared" si="52"/>
        <v/>
      </c>
    </row>
    <row r="192" spans="2:16" hidden="1" x14ac:dyDescent="0.55000000000000004">
      <c r="B192" s="29"/>
      <c r="C192" s="44" t="s">
        <v>165</v>
      </c>
      <c r="D192" s="31">
        <f>SUMIFS(database!$R:$R,database!$F:$F,calc!$C$173,database!$J:$J,calc!C192,database!$B:$B,listbox!$D$3,database!$A:$A,listbox!$B$3)</f>
        <v>0</v>
      </c>
      <c r="E192" s="32"/>
      <c r="F192" s="33">
        <f>SUMIFS(database!$S:$S,database!$F:$F,calc!$C$173,database!$J:$J,calc!C192,database!$B:$B,listbox!$D$3,database!$A:$A,listbox!$B$3)</f>
        <v>0</v>
      </c>
      <c r="G192" s="32" t="str">
        <f t="shared" si="50"/>
        <v/>
      </c>
      <c r="H192" s="30"/>
      <c r="I192" s="31"/>
      <c r="J192" s="22" t="str">
        <f t="shared" si="51"/>
        <v/>
      </c>
      <c r="K192" s="24" t="str">
        <f t="shared" si="52"/>
        <v/>
      </c>
    </row>
    <row r="193" spans="2:16" ht="24" hidden="1" x14ac:dyDescent="0.55000000000000004">
      <c r="B193" s="29"/>
      <c r="C193" s="51" t="s">
        <v>136</v>
      </c>
      <c r="D193" s="51">
        <f>SUBTOTAL(109,D175:D192)</f>
        <v>0</v>
      </c>
      <c r="E193" s="49"/>
      <c r="F193" s="50">
        <f>SUM(F175:F192)</f>
        <v>0</v>
      </c>
      <c r="G193" s="49">
        <f>SUM(G175:G192)</f>
        <v>0</v>
      </c>
      <c r="H193" s="30"/>
      <c r="I193" s="31"/>
      <c r="J193" s="23">
        <f>SUM(J175:J192)</f>
        <v>0</v>
      </c>
      <c r="K193" s="21">
        <f>SUM(K175:K192)</f>
        <v>0</v>
      </c>
    </row>
    <row r="194" spans="2:16" x14ac:dyDescent="0.55000000000000004">
      <c r="B194" s="29"/>
      <c r="C194" s="31"/>
      <c r="D194" s="31"/>
      <c r="E194" s="31"/>
      <c r="F194" s="31"/>
      <c r="G194" s="31"/>
      <c r="H194" s="30"/>
      <c r="I194" s="31"/>
      <c r="P194" s="22"/>
    </row>
    <row r="195" spans="2:16" x14ac:dyDescent="0.55000000000000004">
      <c r="B195" s="29"/>
      <c r="C195" s="31"/>
      <c r="D195" s="31"/>
      <c r="E195" s="31"/>
      <c r="F195" s="31"/>
      <c r="G195" s="31"/>
      <c r="H195" s="30"/>
      <c r="I195" s="31"/>
      <c r="P195" s="22"/>
    </row>
    <row r="196" spans="2:16" ht="26.25" x14ac:dyDescent="0.55000000000000004">
      <c r="B196" s="29"/>
      <c r="C196" s="68" t="s">
        <v>4</v>
      </c>
      <c r="D196" s="68"/>
      <c r="E196" s="68"/>
      <c r="F196" s="68"/>
      <c r="G196" s="68"/>
      <c r="H196" s="30"/>
      <c r="I196" s="31"/>
      <c r="P196" s="22"/>
    </row>
    <row r="197" spans="2:16" ht="24" x14ac:dyDescent="0.55000000000000004">
      <c r="B197" s="29"/>
      <c r="C197" s="48" t="s">
        <v>96</v>
      </c>
      <c r="D197" s="61" t="s">
        <v>216</v>
      </c>
      <c r="E197" s="48" t="s">
        <v>207</v>
      </c>
      <c r="F197" s="48" t="s">
        <v>115</v>
      </c>
      <c r="G197" s="48" t="s">
        <v>116</v>
      </c>
      <c r="H197" s="30"/>
      <c r="I197" s="31"/>
      <c r="J197" s="8" t="s">
        <v>163</v>
      </c>
      <c r="K197" s="8" t="s">
        <v>164</v>
      </c>
      <c r="P197" s="22"/>
    </row>
    <row r="198" spans="2:16" hidden="1" x14ac:dyDescent="0.55000000000000004">
      <c r="B198" s="29"/>
      <c r="C198" s="44" t="s">
        <v>185</v>
      </c>
      <c r="D198" s="31">
        <f>SUMIFS(database!$R:$R,database!$F:$F,calc!$C$196,database!$J:$J,calc!C198,database!$B:$B,listbox!$D$3,database!$A:$A,listbox!$B$3)</f>
        <v>0</v>
      </c>
      <c r="E198" s="32"/>
      <c r="F198" s="33">
        <f>SUMIFS(database!$S:$S,database!$F:$F,calc!$C$196,database!$J:$J,calc!C198,database!$B:$B,listbox!$D$3,database!$A:$A,listbox!$B$3)</f>
        <v>0</v>
      </c>
      <c r="G198" s="32">
        <f>IFERROR(F198/$F$206,"")</f>
        <v>0</v>
      </c>
      <c r="H198" s="30"/>
      <c r="I198" s="31"/>
      <c r="J198" s="42" t="str">
        <f>IFERROR(F198/D28,"")</f>
        <v/>
      </c>
      <c r="K198" s="24" t="str">
        <f>IFERROR(J198/$J$206,"")</f>
        <v/>
      </c>
      <c r="P198" s="22"/>
    </row>
    <row r="199" spans="2:16" hidden="1" x14ac:dyDescent="0.55000000000000004">
      <c r="B199" s="29"/>
      <c r="C199" s="44" t="s">
        <v>186</v>
      </c>
      <c r="D199" s="31">
        <f>SUMIFS(database!$R:$R,database!$F:$F,calc!$C$196,database!$J:$J,calc!C199,database!$B:$B,listbox!$D$3,database!$A:$A,listbox!$B$3)</f>
        <v>0</v>
      </c>
      <c r="E199" s="32"/>
      <c r="F199" s="33">
        <f>SUMIFS(database!$S:$S,database!$F:$F,calc!$C$196,database!$J:$J,calc!C199,database!$B:$B,listbox!$D$3,database!$A:$A,listbox!$B$3)</f>
        <v>0</v>
      </c>
      <c r="G199" s="32">
        <f t="shared" ref="G199:G205" si="53">IFERROR(F199/$F$206,"")</f>
        <v>0</v>
      </c>
      <c r="H199" s="30"/>
      <c r="I199" s="31"/>
      <c r="J199" s="42">
        <f t="shared" ref="J199:J205" si="54">IFERROR(F199/D29,"")</f>
        <v>0</v>
      </c>
      <c r="K199" s="24">
        <f>IFERROR(J199/$J$206,"")</f>
        <v>0</v>
      </c>
      <c r="P199" s="22"/>
    </row>
    <row r="200" spans="2:16" hidden="1" x14ac:dyDescent="0.55000000000000004">
      <c r="B200" s="29"/>
      <c r="C200" s="44" t="s">
        <v>187</v>
      </c>
      <c r="D200" s="31">
        <f>SUMIFS(database!$R:$R,database!$F:$F,calc!$C$196,database!$J:$J,calc!C200,database!$B:$B,listbox!$D$3,database!$A:$A,listbox!$B$3)</f>
        <v>0</v>
      </c>
      <c r="E200" s="32"/>
      <c r="F200" s="33">
        <f>SUMIFS(database!$S:$S,database!$F:$F,calc!$C$196,database!$J:$J,calc!C200,database!$B:$B,listbox!$D$3,database!$A:$A,listbox!$B$3)</f>
        <v>0</v>
      </c>
      <c r="G200" s="32">
        <f t="shared" si="53"/>
        <v>0</v>
      </c>
      <c r="H200" s="30"/>
      <c r="I200" s="31"/>
      <c r="J200" s="42" t="str">
        <f t="shared" si="54"/>
        <v/>
      </c>
      <c r="K200" s="24" t="str">
        <f t="shared" ref="K200:K205" si="55">IFERROR(J200/$J$206,"")</f>
        <v/>
      </c>
      <c r="P200" s="22"/>
    </row>
    <row r="201" spans="2:16" hidden="1" x14ac:dyDescent="0.55000000000000004">
      <c r="B201" s="29"/>
      <c r="C201" s="44" t="s">
        <v>188</v>
      </c>
      <c r="D201" s="31">
        <f>SUMIFS(database!$R:$R,database!$F:$F,calc!$C$196,database!$J:$J,calc!C201,database!$B:$B,listbox!$D$3,database!$A:$A,listbox!$B$3)</f>
        <v>0</v>
      </c>
      <c r="E201" s="32"/>
      <c r="F201" s="33">
        <f>SUMIFS(database!$S:$S,database!$F:$F,calc!$C$196,database!$J:$J,calc!C201,database!$B:$B,listbox!$D$3,database!$A:$A,listbox!$B$3)</f>
        <v>0</v>
      </c>
      <c r="G201" s="32">
        <f t="shared" si="53"/>
        <v>0</v>
      </c>
      <c r="H201" s="30"/>
      <c r="I201" s="31"/>
      <c r="J201" s="42" t="str">
        <f t="shared" si="54"/>
        <v/>
      </c>
      <c r="K201" s="24" t="str">
        <f t="shared" si="55"/>
        <v/>
      </c>
      <c r="P201" s="22"/>
    </row>
    <row r="202" spans="2:16" x14ac:dyDescent="0.55000000000000004">
      <c r="B202" s="29"/>
      <c r="C202" s="44" t="s">
        <v>189</v>
      </c>
      <c r="D202" s="31">
        <f>SUMIFS(database!$R:$R,database!$F:$F,calc!$C$196,database!$J:$J,calc!C202,database!$B:$B,listbox!$D$3,database!$A:$A,listbox!$B$3)</f>
        <v>1</v>
      </c>
      <c r="E202" s="32"/>
      <c r="F202" s="33">
        <f>SUMIFS(database!$S:$S,database!$F:$F,calc!$C$196,database!$J:$J,calc!C202,database!$B:$B,listbox!$D$3,database!$A:$A,listbox!$B$3)</f>
        <v>6244305</v>
      </c>
      <c r="G202" s="32">
        <f t="shared" si="53"/>
        <v>1</v>
      </c>
      <c r="H202" s="30"/>
      <c r="I202" s="31"/>
      <c r="J202" s="22">
        <f t="shared" si="54"/>
        <v>6244305</v>
      </c>
      <c r="K202" s="24">
        <f t="shared" si="55"/>
        <v>1</v>
      </c>
      <c r="P202" s="22"/>
    </row>
    <row r="203" spans="2:16" hidden="1" x14ac:dyDescent="0.55000000000000004">
      <c r="B203" s="29"/>
      <c r="C203" s="44" t="s">
        <v>192</v>
      </c>
      <c r="D203" s="31">
        <f>SUMIFS(database!$R:$R,database!$F:$F,calc!$C$196,database!$J:$J,calc!C203,database!$B:$B,listbox!$D$3,database!$A:$A,listbox!$B$3)</f>
        <v>0</v>
      </c>
      <c r="E203" s="32"/>
      <c r="F203" s="33">
        <f>SUMIFS(database!$S:$S,database!$F:$F,calc!$C$196,database!$J:$J,calc!C203,database!$B:$B,listbox!$D$3,database!$A:$A,listbox!$B$3)</f>
        <v>0</v>
      </c>
      <c r="G203" s="32">
        <f t="shared" si="53"/>
        <v>0</v>
      </c>
      <c r="H203" s="30"/>
      <c r="I203" s="31"/>
      <c r="J203" s="22" t="str">
        <f t="shared" si="54"/>
        <v/>
      </c>
      <c r="K203" s="24" t="str">
        <f t="shared" si="55"/>
        <v/>
      </c>
      <c r="P203" s="22"/>
    </row>
    <row r="204" spans="2:16" hidden="1" x14ac:dyDescent="0.55000000000000004">
      <c r="B204" s="29"/>
      <c r="C204" s="44" t="s">
        <v>190</v>
      </c>
      <c r="D204" s="31">
        <f>SUMIFS(database!$R:$R,database!$F:$F,calc!$C$196,database!$J:$J,calc!C204,database!$B:$B,listbox!$D$3,database!$A:$A,listbox!$B$3)</f>
        <v>0</v>
      </c>
      <c r="E204" s="32"/>
      <c r="F204" s="33">
        <f>SUMIFS(database!$S:$S,database!$F:$F,calc!$C$196,database!$J:$J,calc!C204,database!$B:$B,listbox!$D$3,database!$A:$A,listbox!$B$3)</f>
        <v>0</v>
      </c>
      <c r="G204" s="32">
        <f t="shared" si="53"/>
        <v>0</v>
      </c>
      <c r="H204" s="30"/>
      <c r="I204" s="31"/>
      <c r="J204" s="22">
        <f t="shared" si="54"/>
        <v>0</v>
      </c>
      <c r="K204" s="24">
        <f t="shared" si="55"/>
        <v>0</v>
      </c>
    </row>
    <row r="205" spans="2:16" hidden="1" x14ac:dyDescent="0.55000000000000004">
      <c r="B205" s="29"/>
      <c r="C205" s="44" t="s">
        <v>191</v>
      </c>
      <c r="D205" s="31">
        <f>SUMIFS(database!$R:$R,database!$F:$F,calc!$C$196,database!$J:$J,calc!C205,database!$B:$B,listbox!$D$3,database!$A:$A,listbox!$B$3)</f>
        <v>0</v>
      </c>
      <c r="E205" s="32"/>
      <c r="F205" s="33">
        <f>SUMIFS(database!$S:$S,database!$F:$F,calc!$C$196,database!$J:$J,calc!C205,database!$B:$B,listbox!$D$3,database!$A:$A,listbox!$B$3)</f>
        <v>0</v>
      </c>
      <c r="G205" s="32">
        <f t="shared" si="53"/>
        <v>0</v>
      </c>
      <c r="H205" s="30"/>
      <c r="I205" s="31"/>
      <c r="J205" s="22">
        <f t="shared" si="54"/>
        <v>0</v>
      </c>
      <c r="K205" s="24">
        <f t="shared" si="55"/>
        <v>0</v>
      </c>
    </row>
    <row r="206" spans="2:16" ht="24" x14ac:dyDescent="0.55000000000000004">
      <c r="B206" s="29"/>
      <c r="C206" s="51" t="s">
        <v>136</v>
      </c>
      <c r="D206" s="51">
        <f>SUBTOTAL(109,D198:D205)</f>
        <v>1</v>
      </c>
      <c r="E206" s="49"/>
      <c r="F206" s="50">
        <f t="shared" ref="F206" si="56">SUM(F198:F205)</f>
        <v>6244305</v>
      </c>
      <c r="G206" s="49">
        <f>SUM(G198:G205)</f>
        <v>1</v>
      </c>
      <c r="H206" s="30"/>
      <c r="I206" s="31"/>
      <c r="J206" s="23">
        <f>SUM(J198:J205)</f>
        <v>6244305</v>
      </c>
      <c r="K206" s="21">
        <f>SUM(K198:K205)</f>
        <v>1</v>
      </c>
    </row>
    <row r="207" spans="2:16" ht="23.25" thickBot="1" x14ac:dyDescent="0.6">
      <c r="B207" s="35"/>
      <c r="C207" s="36"/>
      <c r="D207" s="36"/>
      <c r="E207" s="36"/>
      <c r="F207" s="36"/>
      <c r="G207" s="36"/>
      <c r="H207" s="37"/>
      <c r="I207" s="31"/>
    </row>
    <row r="208" spans="2:16" x14ac:dyDescent="0.55000000000000004">
      <c r="I208" s="31"/>
    </row>
    <row r="209" spans="2:11" x14ac:dyDescent="0.55000000000000004">
      <c r="I209" s="31"/>
    </row>
    <row r="210" spans="2:11" ht="23.25" thickBot="1" x14ac:dyDescent="0.6">
      <c r="C210" s="67" t="s">
        <v>147</v>
      </c>
      <c r="I210" s="31"/>
    </row>
    <row r="211" spans="2:11" x14ac:dyDescent="0.55000000000000004">
      <c r="B211" s="26"/>
      <c r="C211" s="67"/>
      <c r="D211" s="27"/>
      <c r="E211" s="27"/>
      <c r="F211" s="27"/>
      <c r="G211" s="27"/>
      <c r="H211" s="28"/>
    </row>
    <row r="212" spans="2:11" ht="26.25" x14ac:dyDescent="0.55000000000000004">
      <c r="B212" s="29"/>
      <c r="C212" s="66" t="s">
        <v>3</v>
      </c>
      <c r="D212" s="66"/>
      <c r="E212" s="66"/>
      <c r="F212" s="66"/>
      <c r="G212" s="66"/>
      <c r="H212" s="30"/>
    </row>
    <row r="213" spans="2:11" ht="24" x14ac:dyDescent="0.55000000000000004">
      <c r="B213" s="29"/>
      <c r="C213" s="48" t="s">
        <v>96</v>
      </c>
      <c r="D213" s="48" t="s">
        <v>158</v>
      </c>
      <c r="E213" s="48" t="s">
        <v>205</v>
      </c>
      <c r="F213" s="56" t="s">
        <v>203</v>
      </c>
      <c r="G213" s="56" t="s">
        <v>204</v>
      </c>
      <c r="H213" s="30"/>
      <c r="J213" s="8" t="s">
        <v>163</v>
      </c>
      <c r="K213" s="8" t="s">
        <v>164</v>
      </c>
    </row>
    <row r="214" spans="2:11" x14ac:dyDescent="0.55000000000000004">
      <c r="B214" s="29"/>
      <c r="C214" s="44" t="s">
        <v>166</v>
      </c>
      <c r="D214" s="31">
        <v>0</v>
      </c>
      <c r="E214" s="32">
        <v>0</v>
      </c>
      <c r="F214" s="33">
        <f>SUMIFS(database!$T:$T,database!$F:$F,$C$212,database!$J:$J,C214,database!$B:$B,listbox!$D$3,database!$A:$A,listbox!$B$3)</f>
        <v>378957044</v>
      </c>
      <c r="G214" s="32">
        <f t="shared" ref="G214:G231" si="57">F214/$F$232</f>
        <v>0.24968487794386399</v>
      </c>
      <c r="H214" s="30"/>
      <c r="I214" s="31"/>
      <c r="J214" s="22">
        <f>IFERROR(test5[[#This Row],[جمع حقوق و مزایا]]/D5,"")</f>
        <v>126319014.66666667</v>
      </c>
      <c r="K214" s="24">
        <f>J214/$J$232</f>
        <v>0.11991799338232473</v>
      </c>
    </row>
    <row r="215" spans="2:11" x14ac:dyDescent="0.55000000000000004">
      <c r="B215" s="29"/>
      <c r="C215" s="44" t="s">
        <v>167</v>
      </c>
      <c r="D215" s="31">
        <v>0</v>
      </c>
      <c r="E215" s="32">
        <v>0</v>
      </c>
      <c r="F215" s="33">
        <f>SUMIFS(database!$T:$T,database!$F:$F,$C$212,database!$J:$J,C215,database!$B:$B,listbox!$D$3,database!$A:$A,listbox!$B$3)</f>
        <v>79933626</v>
      </c>
      <c r="G215" s="32">
        <f t="shared" si="57"/>
        <v>5.2666174088640168E-2</v>
      </c>
      <c r="H215" s="30"/>
      <c r="I215" s="31"/>
      <c r="J215" s="22">
        <f>IFERROR(test5[[#This Row],[جمع حقوق و مزایا]]/D6,"")</f>
        <v>79933626</v>
      </c>
      <c r="K215" s="24">
        <f t="shared" ref="K215" si="58">J215/$J$232</f>
        <v>7.5883112760082805E-2</v>
      </c>
    </row>
    <row r="216" spans="2:11" hidden="1" x14ac:dyDescent="0.55000000000000004">
      <c r="B216" s="29"/>
      <c r="C216" s="44" t="s">
        <v>168</v>
      </c>
      <c r="D216" s="31">
        <v>0</v>
      </c>
      <c r="E216" s="32">
        <v>0</v>
      </c>
      <c r="F216" s="33">
        <f>SUMIFS(database!$T:$T,database!$F:$F,$C$212,database!$J:$J,C216,database!$B:$B,listbox!$D$3,database!$A:$A,listbox!$B$3)</f>
        <v>0</v>
      </c>
      <c r="G216" s="32">
        <f t="shared" si="57"/>
        <v>0</v>
      </c>
      <c r="H216" s="30"/>
      <c r="I216" s="31"/>
      <c r="J216" s="22" t="str">
        <f>IFERROR(test5[[#This Row],[جمع حقوق و مزایا]]/D7,"")</f>
        <v/>
      </c>
      <c r="K216" s="24" t="str">
        <f>IFERROR(J216/$J$232,"")</f>
        <v/>
      </c>
    </row>
    <row r="217" spans="2:11" x14ac:dyDescent="0.55000000000000004">
      <c r="B217" s="29"/>
      <c r="C217" s="44" t="s">
        <v>169</v>
      </c>
      <c r="D217" s="31">
        <v>0</v>
      </c>
      <c r="E217" s="32">
        <v>0</v>
      </c>
      <c r="F217" s="33">
        <f>SUMIFS(database!$T:$T,database!$F:$F,$C$212,database!$J:$J,C217,database!$B:$B,listbox!$D$3,database!$A:$A,listbox!$B$3)</f>
        <v>69198409</v>
      </c>
      <c r="G217" s="32">
        <f t="shared" si="57"/>
        <v>4.5593020577484183E-2</v>
      </c>
      <c r="H217" s="30"/>
      <c r="I217" s="31"/>
      <c r="J217" s="22">
        <f>IFERROR(test5[[#This Row],[جمع حقوق و مزایا]]/D8,"")</f>
        <v>69198409</v>
      </c>
      <c r="K217" s="24">
        <f t="shared" ref="K217:K231" si="59">IFERROR(J217/$J$232,"")</f>
        <v>6.5691886327855664E-2</v>
      </c>
    </row>
    <row r="218" spans="2:11" hidden="1" x14ac:dyDescent="0.55000000000000004">
      <c r="B218" s="29"/>
      <c r="C218" s="44" t="s">
        <v>170</v>
      </c>
      <c r="D218" s="31">
        <v>0</v>
      </c>
      <c r="E218" s="32">
        <v>0</v>
      </c>
      <c r="F218" s="33">
        <f>SUMIFS(database!$T:$T,database!$F:$F,$C$212,database!$J:$J,C218,database!$B:$B,listbox!$D$3,database!$A:$A,listbox!$B$3)</f>
        <v>0</v>
      </c>
      <c r="G218" s="32">
        <f t="shared" si="57"/>
        <v>0</v>
      </c>
      <c r="H218" s="30"/>
      <c r="I218" s="31"/>
      <c r="J218" s="22" t="str">
        <f>IFERROR(test5[[#This Row],[جمع حقوق و مزایا]]/D9,"")</f>
        <v/>
      </c>
      <c r="K218" s="24" t="str">
        <f t="shared" si="59"/>
        <v/>
      </c>
    </row>
    <row r="219" spans="2:11" x14ac:dyDescent="0.55000000000000004">
      <c r="B219" s="29"/>
      <c r="C219" s="44" t="s">
        <v>171</v>
      </c>
      <c r="D219" s="31">
        <v>0</v>
      </c>
      <c r="E219" s="32">
        <v>0</v>
      </c>
      <c r="F219" s="33">
        <f>SUMIFS(database!$T:$T,database!$F:$F,$C$212,database!$J:$J,C219,database!$B:$B,listbox!$D$3,database!$A:$A,listbox!$B$3)</f>
        <v>152525315</v>
      </c>
      <c r="G219" s="32">
        <f t="shared" si="57"/>
        <v>0.10049493804665736</v>
      </c>
      <c r="H219" s="30"/>
      <c r="I219" s="31"/>
      <c r="J219" s="22">
        <f>IFERROR(test5[[#This Row],[جمع حقوق و مزایا]]/D10,"")</f>
        <v>152525315</v>
      </c>
      <c r="K219" s="24">
        <f t="shared" si="59"/>
        <v>0.14479632985637544</v>
      </c>
    </row>
    <row r="220" spans="2:11" x14ac:dyDescent="0.55000000000000004">
      <c r="B220" s="29"/>
      <c r="C220" s="44" t="s">
        <v>193</v>
      </c>
      <c r="D220" s="31">
        <v>0</v>
      </c>
      <c r="E220" s="32">
        <v>0</v>
      </c>
      <c r="F220" s="33">
        <f>SUMIFS(database!$T:$T,database!$F:$F,$C$212,database!$J:$J,C220,database!$B:$B,listbox!$D$3,database!$A:$A,listbox!$B$3)</f>
        <v>104160253</v>
      </c>
      <c r="G220" s="32">
        <f t="shared" si="57"/>
        <v>6.8628464541503537E-2</v>
      </c>
      <c r="H220" s="30"/>
      <c r="I220" s="31"/>
      <c r="J220" s="22">
        <f>IFERROR(test5[[#This Row],[جمع حقوق و مزایا]]/D11,"")</f>
        <v>104160253</v>
      </c>
      <c r="K220" s="24">
        <f t="shared" si="59"/>
        <v>9.8882092794311024E-2</v>
      </c>
    </row>
    <row r="221" spans="2:11" hidden="1" x14ac:dyDescent="0.55000000000000004">
      <c r="B221" s="29"/>
      <c r="C221" s="44" t="s">
        <v>172</v>
      </c>
      <c r="D221" s="31">
        <v>0</v>
      </c>
      <c r="E221" s="32">
        <v>0</v>
      </c>
      <c r="F221" s="33">
        <f>SUMIFS(database!$T:$T,database!$F:$F,$C$212,database!$J:$J,C221,database!$B:$B,listbox!$D$3,database!$A:$A,listbox!$B$3)</f>
        <v>0</v>
      </c>
      <c r="G221" s="32">
        <f t="shared" si="57"/>
        <v>0</v>
      </c>
      <c r="H221" s="30"/>
      <c r="I221" s="31"/>
      <c r="J221" s="22" t="str">
        <f>IFERROR(test5[[#This Row],[جمع حقوق و مزایا]]/D12,"")</f>
        <v/>
      </c>
      <c r="K221" s="24" t="str">
        <f t="shared" si="59"/>
        <v/>
      </c>
    </row>
    <row r="222" spans="2:11" x14ac:dyDescent="0.55000000000000004">
      <c r="B222" s="29"/>
      <c r="C222" s="44" t="s">
        <v>173</v>
      </c>
      <c r="D222" s="31">
        <v>0</v>
      </c>
      <c r="E222" s="32">
        <v>0</v>
      </c>
      <c r="F222" s="33">
        <f>SUMIFS(database!$T:$T,database!$F:$F,$C$212,database!$J:$J,C222,database!$B:$B,listbox!$D$3,database!$A:$A,listbox!$B$3)</f>
        <v>100817386</v>
      </c>
      <c r="G222" s="32">
        <f t="shared" si="57"/>
        <v>6.6425936967223709E-2</v>
      </c>
      <c r="H222" s="30"/>
      <c r="I222" s="31"/>
      <c r="J222" s="22">
        <f>IFERROR(test5[[#This Row],[جمع حقوق و مزایا]]/D13,"")</f>
        <v>100817386</v>
      </c>
      <c r="K222" s="24">
        <f t="shared" si="59"/>
        <v>9.5708620424835883E-2</v>
      </c>
    </row>
    <row r="223" spans="2:11" hidden="1" x14ac:dyDescent="0.55000000000000004">
      <c r="B223" s="29"/>
      <c r="C223" s="44" t="s">
        <v>174</v>
      </c>
      <c r="D223" s="31">
        <v>0</v>
      </c>
      <c r="E223" s="32">
        <v>0</v>
      </c>
      <c r="F223" s="33">
        <f>SUMIFS(database!$T:$T,database!$F:$F,$C$212,database!$J:$J,C223,database!$B:$B,listbox!$D$3,database!$A:$A,listbox!$B$3)</f>
        <v>0</v>
      </c>
      <c r="G223" s="32">
        <f t="shared" si="57"/>
        <v>0</v>
      </c>
      <c r="H223" s="30"/>
      <c r="I223" s="31"/>
      <c r="J223" s="22" t="str">
        <f>IFERROR(test5[[#This Row],[جمع حقوق و مزایا]]/D14,"")</f>
        <v/>
      </c>
      <c r="K223" s="24" t="str">
        <f t="shared" si="59"/>
        <v/>
      </c>
    </row>
    <row r="224" spans="2:11" hidden="1" x14ac:dyDescent="0.55000000000000004">
      <c r="B224" s="29"/>
      <c r="C224" s="44" t="s">
        <v>175</v>
      </c>
      <c r="D224" s="31">
        <v>0</v>
      </c>
      <c r="E224" s="32">
        <v>0</v>
      </c>
      <c r="F224" s="33">
        <f>SUMIFS(database!$T:$T,database!$F:$F,$C$212,database!$J:$J,C224,database!$B:$B,listbox!$D$3,database!$A:$A,listbox!$B$3)</f>
        <v>0</v>
      </c>
      <c r="G224" s="32">
        <f t="shared" si="57"/>
        <v>0</v>
      </c>
      <c r="H224" s="30"/>
      <c r="I224" s="31"/>
      <c r="J224" s="22" t="str">
        <f>IFERROR(test5[[#This Row],[جمع حقوق و مزایا]]/D15,"")</f>
        <v/>
      </c>
      <c r="K224" s="24" t="str">
        <f t="shared" si="59"/>
        <v/>
      </c>
    </row>
    <row r="225" spans="2:11" x14ac:dyDescent="0.55000000000000004">
      <c r="B225" s="29"/>
      <c r="C225" s="44" t="s">
        <v>176</v>
      </c>
      <c r="D225" s="31">
        <v>0</v>
      </c>
      <c r="E225" s="32">
        <v>0</v>
      </c>
      <c r="F225" s="33">
        <f>SUMIFS(database!$T:$T,database!$F:$F,$C$212,database!$J:$J,C225,database!$B:$B,listbox!$D$3,database!$A:$A,listbox!$B$3)</f>
        <v>207633564</v>
      </c>
      <c r="G225" s="32">
        <f t="shared" si="57"/>
        <v>0.13680432097836787</v>
      </c>
      <c r="H225" s="30"/>
      <c r="I225" s="31"/>
      <c r="J225" s="22">
        <f>IFERROR(test5[[#This Row],[جمع حقوق و مزایا]]/D16,"")</f>
        <v>103816782</v>
      </c>
      <c r="K225" s="24">
        <f t="shared" si="59"/>
        <v>9.8556026657603824E-2</v>
      </c>
    </row>
    <row r="226" spans="2:11" x14ac:dyDescent="0.55000000000000004">
      <c r="B226" s="29"/>
      <c r="C226" s="44" t="s">
        <v>177</v>
      </c>
      <c r="D226" s="31">
        <v>0</v>
      </c>
      <c r="E226" s="32">
        <v>0</v>
      </c>
      <c r="F226" s="33">
        <f>SUMIFS(database!$T:$T,database!$F:$F,$C$212,database!$J:$J,C226,database!$B:$B,listbox!$D$3,database!$A:$A,listbox!$B$3)</f>
        <v>215816275</v>
      </c>
      <c r="G226" s="32">
        <f t="shared" si="57"/>
        <v>0.14219569509222366</v>
      </c>
      <c r="H226" s="30"/>
      <c r="I226" s="31"/>
      <c r="J226" s="22">
        <f>IFERROR(test5[[#This Row],[جمع حقوق و مزایا]]/D17,"")</f>
        <v>107908137.5</v>
      </c>
      <c r="K226" s="24">
        <f t="shared" si="59"/>
        <v>0.10244005902651056</v>
      </c>
    </row>
    <row r="227" spans="2:11" x14ac:dyDescent="0.55000000000000004">
      <c r="B227" s="29"/>
      <c r="C227" s="44" t="s">
        <v>178</v>
      </c>
      <c r="D227" s="31">
        <v>0</v>
      </c>
      <c r="E227" s="32">
        <v>0</v>
      </c>
      <c r="F227" s="33">
        <f>SUMIFS(database!$T:$T,database!$F:$F,$C$212,database!$J:$J,C227,database!$B:$B,listbox!$D$3,database!$A:$A,listbox!$B$3)</f>
        <v>83241172</v>
      </c>
      <c r="G227" s="32">
        <f t="shared" si="57"/>
        <v>5.4845429580467668E-2</v>
      </c>
      <c r="H227" s="30"/>
      <c r="I227" s="31"/>
      <c r="J227" s="22">
        <f>IFERROR(test5[[#This Row],[جمع حقوق و مزایا]]/D18,"")</f>
        <v>83241172</v>
      </c>
      <c r="K227" s="24">
        <f t="shared" si="59"/>
        <v>7.9023053966767967E-2</v>
      </c>
    </row>
    <row r="228" spans="2:11" hidden="1" x14ac:dyDescent="0.55000000000000004">
      <c r="B228" s="29"/>
      <c r="C228" s="44" t="s">
        <v>179</v>
      </c>
      <c r="D228" s="31">
        <v>0</v>
      </c>
      <c r="E228" s="32">
        <v>0</v>
      </c>
      <c r="F228" s="33">
        <f>SUMIFS(database!$T:$T,database!$F:$F,$C$212,database!$J:$J,C228,database!$B:$B,listbox!$D$3,database!$A:$A,listbox!$B$3)</f>
        <v>0</v>
      </c>
      <c r="G228" s="32">
        <f t="shared" si="57"/>
        <v>0</v>
      </c>
      <c r="H228" s="30"/>
      <c r="I228" s="31"/>
      <c r="J228" s="22" t="str">
        <f>IFERROR(test5[[#This Row],[جمع حقوق و مزایا]]/D19,"")</f>
        <v/>
      </c>
      <c r="K228" s="24" t="str">
        <f t="shared" si="59"/>
        <v/>
      </c>
    </row>
    <row r="229" spans="2:11" hidden="1" x14ac:dyDescent="0.55000000000000004">
      <c r="B229" s="29"/>
      <c r="C229" s="44" t="s">
        <v>180</v>
      </c>
      <c r="D229" s="31">
        <v>0</v>
      </c>
      <c r="E229" s="32">
        <v>0</v>
      </c>
      <c r="F229" s="33">
        <f>SUMIFS(database!$T:$T,database!$F:$F,$C$212,database!$J:$J,C229,database!$B:$B,listbox!$D$3,database!$A:$A,listbox!$B$3)</f>
        <v>0</v>
      </c>
      <c r="G229" s="32">
        <f t="shared" si="57"/>
        <v>0</v>
      </c>
      <c r="H229" s="30"/>
      <c r="I229" s="31"/>
      <c r="J229" s="22" t="str">
        <f>IFERROR(test5[[#This Row],[جمع حقوق و مزایا]]/D20,"")</f>
        <v/>
      </c>
      <c r="K229" s="24" t="str">
        <f t="shared" si="59"/>
        <v/>
      </c>
    </row>
    <row r="230" spans="2:11" x14ac:dyDescent="0.55000000000000004">
      <c r="B230" s="29"/>
      <c r="C230" s="44" t="s">
        <v>181</v>
      </c>
      <c r="D230" s="31">
        <v>0</v>
      </c>
      <c r="E230" s="32">
        <v>0</v>
      </c>
      <c r="F230" s="33">
        <f>SUMIFS(database!$T:$T,database!$F:$F,$C$212,database!$J:$J,C230,database!$B:$B,listbox!$D$3,database!$A:$A,listbox!$B$3)</f>
        <v>125458227</v>
      </c>
      <c r="G230" s="32">
        <f t="shared" si="57"/>
        <v>8.2661142183567862E-2</v>
      </c>
      <c r="H230" s="30"/>
      <c r="I230" s="31"/>
      <c r="J230" s="22">
        <f>IFERROR(test5[[#This Row],[جمع حقوق و مزایا]]/D21,"")</f>
        <v>125458227</v>
      </c>
      <c r="K230" s="24">
        <f t="shared" si="59"/>
        <v>0.11910082480333201</v>
      </c>
    </row>
    <row r="231" spans="2:11" hidden="1" x14ac:dyDescent="0.55000000000000004">
      <c r="B231" s="29"/>
      <c r="C231" s="44" t="s">
        <v>165</v>
      </c>
      <c r="D231" s="31">
        <v>0</v>
      </c>
      <c r="E231" s="32">
        <v>0</v>
      </c>
      <c r="F231" s="33">
        <f>SUMIFS(database!$T:$T,database!$F:$F,$C$212,database!$J:$J,C231,database!$B:$B,listbox!$D$3,database!$A:$A,listbox!$B$3)</f>
        <v>0</v>
      </c>
      <c r="G231" s="32">
        <f t="shared" si="57"/>
        <v>0</v>
      </c>
      <c r="H231" s="30"/>
      <c r="I231" s="31"/>
      <c r="J231" s="22" t="str">
        <f>IFERROR(test5[[#This Row],[جمع حقوق و مزایا]]/D22,"")</f>
        <v/>
      </c>
      <c r="K231" s="24" t="str">
        <f t="shared" si="59"/>
        <v/>
      </c>
    </row>
    <row r="232" spans="2:11" ht="24" x14ac:dyDescent="0.55000000000000004">
      <c r="B232" s="29"/>
      <c r="C232" s="51" t="s">
        <v>136</v>
      </c>
      <c r="D232" s="51">
        <f>SUM(D214:D231)</f>
        <v>0</v>
      </c>
      <c r="E232" s="51">
        <f>SUM(E214:E231)</f>
        <v>0</v>
      </c>
      <c r="F232" s="50">
        <f>SUM(F214:F231)</f>
        <v>1517741271</v>
      </c>
      <c r="G232" s="49">
        <f>SUM(G214:G231)</f>
        <v>1</v>
      </c>
      <c r="H232" s="30"/>
      <c r="I232" s="31"/>
      <c r="J232" s="23">
        <f>SUBTOTAL(9,J214:J231)</f>
        <v>1053378322.1666667</v>
      </c>
      <c r="K232" s="21">
        <f>SUBTOTAL(9,K214:K231)</f>
        <v>0.99999999999999978</v>
      </c>
    </row>
    <row r="233" spans="2:11" x14ac:dyDescent="0.55000000000000004">
      <c r="B233" s="29"/>
      <c r="C233" s="31"/>
      <c r="D233" s="31"/>
      <c r="E233" s="31"/>
      <c r="F233" s="31"/>
      <c r="G233" s="31"/>
      <c r="H233" s="30"/>
      <c r="I233" s="31"/>
    </row>
    <row r="234" spans="2:11" x14ac:dyDescent="0.55000000000000004">
      <c r="B234" s="29"/>
      <c r="C234" s="31"/>
      <c r="D234" s="31"/>
      <c r="E234" s="31"/>
      <c r="F234" s="31"/>
      <c r="G234" s="31"/>
      <c r="H234" s="30"/>
      <c r="I234" s="31"/>
    </row>
    <row r="235" spans="2:11" ht="26.25" x14ac:dyDescent="0.55000000000000004">
      <c r="B235" s="29"/>
      <c r="C235" s="66" t="s">
        <v>4</v>
      </c>
      <c r="D235" s="66"/>
      <c r="E235" s="66"/>
      <c r="F235" s="66"/>
      <c r="G235" s="66"/>
      <c r="H235" s="30"/>
      <c r="I235" s="31"/>
    </row>
    <row r="236" spans="2:11" ht="24" x14ac:dyDescent="0.55000000000000004">
      <c r="B236" s="29"/>
      <c r="C236" s="48" t="s">
        <v>96</v>
      </c>
      <c r="D236" s="57" t="s">
        <v>158</v>
      </c>
      <c r="E236" s="57" t="s">
        <v>205</v>
      </c>
      <c r="F236" s="56" t="s">
        <v>203</v>
      </c>
      <c r="G236" s="56" t="s">
        <v>204</v>
      </c>
      <c r="H236" s="30"/>
      <c r="I236" s="31"/>
      <c r="J236" s="8" t="s">
        <v>163</v>
      </c>
      <c r="K236" s="8" t="s">
        <v>164</v>
      </c>
    </row>
    <row r="237" spans="2:11" hidden="1" x14ac:dyDescent="0.55000000000000004">
      <c r="B237" s="29"/>
      <c r="C237" s="44" t="s">
        <v>185</v>
      </c>
      <c r="D237" s="31">
        <v>0</v>
      </c>
      <c r="E237" s="32">
        <v>0</v>
      </c>
      <c r="F237" s="33">
        <f>SUMIFS(database!$T:$T,database!$F:$F,$C$235,database!$J:$J,C237,database!$B:$B,listbox!$D$3,database!$A:$A,listbox!$B$3)</f>
        <v>0</v>
      </c>
      <c r="G237" s="32">
        <f>F237/$F$245</f>
        <v>0</v>
      </c>
      <c r="H237" s="30"/>
      <c r="I237" s="31"/>
      <c r="J237" s="22" t="str">
        <f>IFERROR(test6[[#This Row],[جمع حقوق و مزایا]]/D28,"")</f>
        <v/>
      </c>
      <c r="K237" s="24" t="str">
        <f>IFERROR(J237/$J$245,"")</f>
        <v/>
      </c>
    </row>
    <row r="238" spans="2:11" x14ac:dyDescent="0.55000000000000004">
      <c r="B238" s="29"/>
      <c r="C238" s="44" t="s">
        <v>186</v>
      </c>
      <c r="D238" s="31">
        <v>0</v>
      </c>
      <c r="E238" s="32">
        <v>0</v>
      </c>
      <c r="F238" s="33">
        <f>SUMIFS(database!$T:$T,database!$F:$F,$C$235,database!$J:$J,C238,database!$B:$B,listbox!$D$3,database!$A:$A,listbox!$B$3)</f>
        <v>107381074</v>
      </c>
      <c r="G238" s="32">
        <f t="shared" ref="G238:G244" si="60">F238/$F$245</f>
        <v>0.20740180592785093</v>
      </c>
      <c r="H238" s="30"/>
      <c r="I238" s="31"/>
      <c r="J238" s="22">
        <f>IFERROR(test6[[#This Row],[جمع حقوق و مزایا]]/D29,"")</f>
        <v>107381074</v>
      </c>
      <c r="K238" s="24">
        <f t="shared" ref="K238:K244" si="61">IFERROR(J238/$J$245,"")</f>
        <v>0.20740180592785093</v>
      </c>
    </row>
    <row r="239" spans="2:11" hidden="1" x14ac:dyDescent="0.55000000000000004">
      <c r="B239" s="29"/>
      <c r="C239" s="44" t="s">
        <v>187</v>
      </c>
      <c r="D239" s="31">
        <v>0</v>
      </c>
      <c r="E239" s="32">
        <v>0</v>
      </c>
      <c r="F239" s="33">
        <f>SUMIFS(database!$T:$T,database!$F:$F,$C$235,database!$J:$J,C239,database!$B:$B,listbox!$D$3,database!$A:$A,listbox!$B$3)</f>
        <v>0</v>
      </c>
      <c r="G239" s="32">
        <f t="shared" si="60"/>
        <v>0</v>
      </c>
      <c r="H239" s="30"/>
      <c r="I239" s="31"/>
      <c r="J239" s="22" t="str">
        <f>IFERROR(test6[[#This Row],[جمع حقوق و مزایا]]/D30,"")</f>
        <v/>
      </c>
      <c r="K239" s="24" t="str">
        <f t="shared" si="61"/>
        <v/>
      </c>
    </row>
    <row r="240" spans="2:11" hidden="1" x14ac:dyDescent="0.55000000000000004">
      <c r="B240" s="29"/>
      <c r="C240" s="44" t="s">
        <v>188</v>
      </c>
      <c r="D240" s="31">
        <v>0</v>
      </c>
      <c r="E240" s="32">
        <v>0</v>
      </c>
      <c r="F240" s="33">
        <f>SUMIFS(database!$T:$T,database!$F:$F,$C$235,database!$J:$J,C240,database!$B:$B,listbox!$D$3,database!$A:$A,listbox!$B$3)</f>
        <v>0</v>
      </c>
      <c r="G240" s="32">
        <f t="shared" si="60"/>
        <v>0</v>
      </c>
      <c r="H240" s="30"/>
      <c r="I240" s="31"/>
      <c r="J240" s="22" t="str">
        <f>IFERROR(test6[[#This Row],[جمع حقوق و مزایا]]/D31,"")</f>
        <v/>
      </c>
      <c r="K240" s="24" t="str">
        <f t="shared" si="61"/>
        <v/>
      </c>
    </row>
    <row r="241" spans="2:11" x14ac:dyDescent="0.55000000000000004">
      <c r="B241" s="29"/>
      <c r="C241" s="44" t="s">
        <v>189</v>
      </c>
      <c r="D241" s="31">
        <v>0</v>
      </c>
      <c r="E241" s="32">
        <v>0</v>
      </c>
      <c r="F241" s="33">
        <f>SUMIFS(database!$T:$T,database!$F:$F,$C$235,database!$J:$J,C241,database!$B:$B,listbox!$D$3,database!$A:$A,listbox!$B$3)</f>
        <v>180282819</v>
      </c>
      <c r="G241" s="32">
        <f t="shared" si="60"/>
        <v>0.34820830939317921</v>
      </c>
      <c r="H241" s="30"/>
      <c r="I241" s="31"/>
      <c r="J241" s="22">
        <f>IFERROR(test6[[#This Row],[جمع حقوق و مزایا]]/D32,"")</f>
        <v>180282819</v>
      </c>
      <c r="K241" s="24">
        <f t="shared" si="61"/>
        <v>0.34820830939317921</v>
      </c>
    </row>
    <row r="242" spans="2:11" hidden="1" x14ac:dyDescent="0.55000000000000004">
      <c r="B242" s="29"/>
      <c r="C242" s="44" t="s">
        <v>192</v>
      </c>
      <c r="D242" s="31">
        <v>0</v>
      </c>
      <c r="E242" s="32">
        <v>0</v>
      </c>
      <c r="F242" s="33">
        <f>SUMIFS(database!$T:$T,database!$F:$F,$C$235,database!$J:$J,C242,database!$B:$B,listbox!$D$3,database!$A:$A,listbox!$B$3)</f>
        <v>0</v>
      </c>
      <c r="G242" s="32">
        <f t="shared" si="60"/>
        <v>0</v>
      </c>
      <c r="H242" s="30"/>
      <c r="I242" s="31"/>
      <c r="J242" s="22" t="str">
        <f>IFERROR(test6[[#This Row],[جمع حقوق و مزایا]]/D33,"")</f>
        <v/>
      </c>
      <c r="K242" s="24" t="str">
        <f t="shared" si="61"/>
        <v/>
      </c>
    </row>
    <row r="243" spans="2:11" x14ac:dyDescent="0.55000000000000004">
      <c r="B243" s="29"/>
      <c r="C243" s="44" t="s">
        <v>190</v>
      </c>
      <c r="D243" s="31">
        <v>0</v>
      </c>
      <c r="E243" s="32">
        <v>0</v>
      </c>
      <c r="F243" s="33">
        <f>SUMIFS(database!$T:$T,database!$F:$F,$C$235,database!$J:$J,C243,database!$B:$B,listbox!$D$3,database!$A:$A,listbox!$B$3)</f>
        <v>135433328</v>
      </c>
      <c r="G243" s="32">
        <f t="shared" si="60"/>
        <v>0.26158349664130737</v>
      </c>
      <c r="H243" s="30"/>
      <c r="I243" s="31"/>
      <c r="J243" s="22">
        <f>IFERROR(test6[[#This Row],[جمع حقوق و مزایا]]/D34,"")</f>
        <v>135433328</v>
      </c>
      <c r="K243" s="24">
        <f t="shared" si="61"/>
        <v>0.26158349664130737</v>
      </c>
    </row>
    <row r="244" spans="2:11" x14ac:dyDescent="0.55000000000000004">
      <c r="B244" s="29"/>
      <c r="C244" s="44" t="s">
        <v>191</v>
      </c>
      <c r="D244" s="31">
        <v>0</v>
      </c>
      <c r="E244" s="32">
        <v>0</v>
      </c>
      <c r="F244" s="33">
        <f>SUMIFS(database!$T:$T,database!$F:$F,$C$235,database!$J:$J,C244,database!$B:$B,listbox!$D$3,database!$A:$A,listbox!$B$3)</f>
        <v>94646940</v>
      </c>
      <c r="G244" s="32">
        <f t="shared" si="60"/>
        <v>0.1828063880376625</v>
      </c>
      <c r="H244" s="30"/>
      <c r="I244" s="31"/>
      <c r="J244" s="22">
        <f>IFERROR(test6[[#This Row],[جمع حقوق و مزایا]]/D35,"")</f>
        <v>94646940</v>
      </c>
      <c r="K244" s="24">
        <f t="shared" si="61"/>
        <v>0.1828063880376625</v>
      </c>
    </row>
    <row r="245" spans="2:11" ht="24" x14ac:dyDescent="0.55000000000000004">
      <c r="B245" s="29"/>
      <c r="C245" s="51" t="s">
        <v>136</v>
      </c>
      <c r="D245" s="51">
        <f>SUM(D237:D244)</f>
        <v>0</v>
      </c>
      <c r="E245" s="49">
        <f>SUM(E237:E244)</f>
        <v>0</v>
      </c>
      <c r="F245" s="50">
        <f t="shared" ref="F245" si="62">SUM(F237:F244)</f>
        <v>517744161</v>
      </c>
      <c r="G245" s="49">
        <f>SUM(G237:G244)</f>
        <v>1</v>
      </c>
      <c r="H245" s="30"/>
      <c r="I245" s="31"/>
      <c r="J245" s="23">
        <f>SUM(J237:J244)</f>
        <v>517744161</v>
      </c>
      <c r="K245" s="21">
        <f>SUM(K237:K244)</f>
        <v>1</v>
      </c>
    </row>
    <row r="246" spans="2:11" x14ac:dyDescent="0.55000000000000004">
      <c r="B246" s="29"/>
      <c r="C246" s="31"/>
      <c r="D246" s="31"/>
      <c r="E246" s="31"/>
      <c r="F246" s="31"/>
      <c r="G246" s="31"/>
      <c r="H246" s="30"/>
      <c r="I246" s="31"/>
    </row>
    <row r="247" spans="2:11" x14ac:dyDescent="0.55000000000000004">
      <c r="B247" s="29"/>
      <c r="C247" s="31"/>
      <c r="D247" s="31"/>
      <c r="E247" s="31"/>
      <c r="F247" s="31"/>
      <c r="G247" s="31"/>
      <c r="H247" s="30"/>
      <c r="I247" s="31"/>
    </row>
    <row r="248" spans="2:11" ht="26.25" x14ac:dyDescent="0.55000000000000004">
      <c r="B248" s="29"/>
      <c r="C248" s="66" t="s">
        <v>117</v>
      </c>
      <c r="D248" s="66"/>
      <c r="E248" s="66"/>
      <c r="F248" s="66"/>
      <c r="G248" s="66"/>
      <c r="H248" s="30"/>
      <c r="I248" s="31"/>
    </row>
    <row r="249" spans="2:11" ht="24" x14ac:dyDescent="0.55000000000000004">
      <c r="B249" s="29"/>
      <c r="C249" s="8" t="s">
        <v>96</v>
      </c>
      <c r="D249" s="8" t="s">
        <v>113</v>
      </c>
      <c r="E249" s="8" t="s">
        <v>114</v>
      </c>
      <c r="F249" s="55" t="s">
        <v>203</v>
      </c>
      <c r="G249" s="55" t="s">
        <v>204</v>
      </c>
      <c r="H249" s="30"/>
      <c r="I249" s="31"/>
    </row>
    <row r="250" spans="2:11" x14ac:dyDescent="0.55000000000000004">
      <c r="B250" s="29"/>
      <c r="C250" s="7" t="s">
        <v>3</v>
      </c>
      <c r="D250" s="31">
        <f>COUNTIFS(database!F:F,C250,database!B:B,listbox!$D$3)</f>
        <v>14</v>
      </c>
      <c r="E250" s="34">
        <f>D250/$D$252</f>
        <v>0.77777777777777779</v>
      </c>
      <c r="F250" s="33">
        <f>$F$232</f>
        <v>1517741271</v>
      </c>
      <c r="G250" s="34">
        <f>F250/$F$252</f>
        <v>0.74564094006249804</v>
      </c>
      <c r="H250" s="30"/>
      <c r="I250" s="31"/>
    </row>
    <row r="251" spans="2:11" x14ac:dyDescent="0.55000000000000004">
      <c r="B251" s="29"/>
      <c r="C251" s="7" t="s">
        <v>4</v>
      </c>
      <c r="D251" s="31">
        <f>COUNTIFS(database!F:F,C251,database!B:B,listbox!$D$3)</f>
        <v>4</v>
      </c>
      <c r="E251" s="34">
        <f>D251/$D$252</f>
        <v>0.22222222222222221</v>
      </c>
      <c r="F251" s="33">
        <f>$F$245</f>
        <v>517744161</v>
      </c>
      <c r="G251" s="34">
        <f>F251/$F$252</f>
        <v>0.25435905993750191</v>
      </c>
      <c r="H251" s="30"/>
      <c r="I251" s="31"/>
    </row>
    <row r="252" spans="2:11" ht="24" x14ac:dyDescent="0.55000000000000004">
      <c r="B252" s="29"/>
      <c r="C252" s="18" t="s">
        <v>136</v>
      </c>
      <c r="D252" s="19">
        <f>SUM(D250:D251)</f>
        <v>18</v>
      </c>
      <c r="E252" s="21">
        <f>SUM(E250:E251)</f>
        <v>1</v>
      </c>
      <c r="F252" s="23">
        <f>SUM(F250:F251)</f>
        <v>2035485432</v>
      </c>
      <c r="G252" s="21">
        <f>SUM(G250:G251)</f>
        <v>1</v>
      </c>
      <c r="H252" s="30"/>
      <c r="I252" s="31"/>
    </row>
    <row r="253" spans="2:11" ht="23.25" thickBot="1" x14ac:dyDescent="0.6">
      <c r="B253" s="35"/>
      <c r="C253" s="36"/>
      <c r="D253" s="36"/>
      <c r="E253" s="36"/>
      <c r="F253" s="36"/>
      <c r="G253" s="36"/>
      <c r="H253" s="37"/>
      <c r="I253" s="31"/>
    </row>
    <row r="254" spans="2:11" x14ac:dyDescent="0.55000000000000004">
      <c r="I254" s="31"/>
    </row>
    <row r="255" spans="2:11" x14ac:dyDescent="0.55000000000000004">
      <c r="I255" s="31"/>
    </row>
    <row r="256" spans="2:11" x14ac:dyDescent="0.55000000000000004">
      <c r="I256" s="31"/>
    </row>
  </sheetData>
  <mergeCells count="21">
    <mergeCell ref="C1:C2"/>
    <mergeCell ref="C47:C48"/>
    <mergeCell ref="C49:G49"/>
    <mergeCell ref="C72:G72"/>
    <mergeCell ref="C93:C94"/>
    <mergeCell ref="C3:G3"/>
    <mergeCell ref="C26:G26"/>
    <mergeCell ref="C39:G39"/>
    <mergeCell ref="C235:G235"/>
    <mergeCell ref="C248:G248"/>
    <mergeCell ref="C85:G85"/>
    <mergeCell ref="C171:C172"/>
    <mergeCell ref="C173:G173"/>
    <mergeCell ref="C196:G196"/>
    <mergeCell ref="C210:C211"/>
    <mergeCell ref="C212:G212"/>
    <mergeCell ref="C95:G95"/>
    <mergeCell ref="C118:G118"/>
    <mergeCell ref="C132:C133"/>
    <mergeCell ref="C134:G134"/>
    <mergeCell ref="C157:G157"/>
  </mergeCells>
  <pageMargins left="0.7" right="0.7" top="0.75" bottom="0.75" header="0.3" footer="0.3"/>
  <pageSetup orientation="portrait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P4:W41"/>
  <sheetViews>
    <sheetView showGridLines="0" rightToLeft="1" tabSelected="1" topLeftCell="A61" zoomScale="140" zoomScaleNormal="140" workbookViewId="0">
      <selection activeCell="Q50" sqref="Q50"/>
    </sheetView>
  </sheetViews>
  <sheetFormatPr defaultRowHeight="22.5" x14ac:dyDescent="0.55000000000000004"/>
  <cols>
    <col min="1" max="1" width="0.44140625" style="1" customWidth="1"/>
    <col min="2" max="14" width="8.88671875" style="1"/>
    <col min="15" max="15" width="1.21875" style="1" customWidth="1"/>
    <col min="16" max="16384" width="8.88671875" style="1"/>
  </cols>
  <sheetData>
    <row r="4" spans="16:21" x14ac:dyDescent="0.55000000000000004">
      <c r="P4" s="58"/>
      <c r="Q4" s="58"/>
      <c r="R4" s="58"/>
    </row>
    <row r="5" spans="16:21" x14ac:dyDescent="0.55000000000000004">
      <c r="P5" s="58"/>
      <c r="Q5" s="58"/>
      <c r="R5" s="58"/>
    </row>
    <row r="6" spans="16:21" x14ac:dyDescent="0.55000000000000004">
      <c r="P6" s="58"/>
      <c r="Q6" s="58"/>
      <c r="R6" s="58"/>
    </row>
    <row r="7" spans="16:21" x14ac:dyDescent="0.55000000000000004">
      <c r="P7" s="58"/>
      <c r="Q7" s="58"/>
      <c r="R7" s="58"/>
    </row>
    <row r="8" spans="16:21" x14ac:dyDescent="0.55000000000000004">
      <c r="P8" s="58"/>
      <c r="Q8" s="58"/>
      <c r="R8" s="58"/>
      <c r="U8"/>
    </row>
    <row r="9" spans="16:21" x14ac:dyDescent="0.55000000000000004">
      <c r="P9" s="58"/>
      <c r="Q9" s="58"/>
      <c r="R9" s="58"/>
    </row>
    <row r="10" spans="16:21" x14ac:dyDescent="0.55000000000000004">
      <c r="P10" s="58"/>
      <c r="Q10" s="58"/>
      <c r="R10" s="58"/>
      <c r="S10"/>
    </row>
    <row r="11" spans="16:21" x14ac:dyDescent="0.55000000000000004">
      <c r="P11" s="58"/>
      <c r="Q11" s="58"/>
      <c r="R11" s="58"/>
    </row>
    <row r="12" spans="16:21" x14ac:dyDescent="0.55000000000000004">
      <c r="P12" s="58"/>
      <c r="Q12" s="58"/>
      <c r="R12" s="58"/>
      <c r="U12"/>
    </row>
    <row r="13" spans="16:21" x14ac:dyDescent="0.55000000000000004">
      <c r="P13" s="58"/>
      <c r="Q13" s="58"/>
      <c r="R13" s="58"/>
    </row>
    <row r="14" spans="16:21" x14ac:dyDescent="0.55000000000000004">
      <c r="S14"/>
    </row>
    <row r="15" spans="16:21" x14ac:dyDescent="0.55000000000000004">
      <c r="Q15" s="1" t="s">
        <v>201</v>
      </c>
    </row>
    <row r="18" spans="16:21" x14ac:dyDescent="0.55000000000000004">
      <c r="P18" s="1" t="s">
        <v>206</v>
      </c>
    </row>
    <row r="29" spans="16:21" x14ac:dyDescent="0.55000000000000004">
      <c r="U29"/>
    </row>
    <row r="30" spans="16:21" x14ac:dyDescent="0.55000000000000004">
      <c r="Q30"/>
    </row>
    <row r="32" spans="16:21" x14ac:dyDescent="0.55000000000000004">
      <c r="S32"/>
    </row>
    <row r="33" spans="16:23" x14ac:dyDescent="0.55000000000000004">
      <c r="Q33"/>
    </row>
    <row r="40" spans="16:23" x14ac:dyDescent="0.55000000000000004">
      <c r="P40"/>
      <c r="Q40"/>
    </row>
    <row r="41" spans="16:23" x14ac:dyDescent="0.55000000000000004">
      <c r="W41"/>
    </row>
  </sheetData>
  <printOptions horizontalCentered="1"/>
  <pageMargins left="0" right="0.2" top="0" bottom="0" header="0" footer="0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Drop Down 5">
              <controlPr defaultSize="0" autoLine="0" autoPict="0">
                <anchor moveWithCells="1">
                  <from>
                    <xdr:col>15</xdr:col>
                    <xdr:colOff>381000</xdr:colOff>
                    <xdr:row>7</xdr:row>
                    <xdr:rowOff>238125</xdr:rowOff>
                  </from>
                  <to>
                    <xdr:col>17</xdr:col>
                    <xdr:colOff>409575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Drop Down 6">
              <controlPr defaultSize="0" autoLine="0" autoPict="0">
                <anchor moveWithCells="1">
                  <from>
                    <xdr:col>15</xdr:col>
                    <xdr:colOff>381000</xdr:colOff>
                    <xdr:row>5</xdr:row>
                    <xdr:rowOff>9525</xdr:rowOff>
                  </from>
                  <to>
                    <xdr:col>17</xdr:col>
                    <xdr:colOff>409575</xdr:colOff>
                    <xdr:row>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listbox</vt:lpstr>
      <vt:lpstr>database</vt:lpstr>
      <vt:lpstr>calc</vt:lpstr>
      <vt:lpstr>Dashboard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soli-pc</dc:creator>
  <cp:lastModifiedBy>soli-pc</cp:lastModifiedBy>
  <cp:lastPrinted>2023-01-09T10:48:01Z</cp:lastPrinted>
  <dcterms:created xsi:type="dcterms:W3CDTF">2023-01-02T09:43:39Z</dcterms:created>
  <dcterms:modified xsi:type="dcterms:W3CDTF">2023-01-10T11:32:26Z</dcterms:modified>
</cp:coreProperties>
</file>