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173A4C2-B5FF-4458-A87E-8E8296BBDF0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listbox" sheetId="2" r:id="rId1"/>
    <sheet name="calc" sheetId="3" r:id="rId2"/>
    <sheet name="database" sheetId="4" r:id="rId3"/>
    <sheet name="Dashboard" sheetId="1" r:id="rId4"/>
  </sheets>
  <definedNames>
    <definedName name="proname">OFFSET(calc!$M$5,0,0,COUNTA(calc!$M$5:$M$22)-COUNTIF(calc!$M$5:$M$22,0),1)</definedName>
    <definedName name="qty">OFFSET(calc!#REF!,0,0,COUNTA(calc!#REF!),1)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B3" i="2"/>
  <c r="D15" i="3" l="1"/>
  <c r="F9" i="3"/>
  <c r="F13" i="3"/>
  <c r="F17" i="3"/>
  <c r="F21" i="3"/>
  <c r="D41" i="3"/>
  <c r="F6" i="3"/>
  <c r="F10" i="3"/>
  <c r="F14" i="3"/>
  <c r="F18" i="3"/>
  <c r="F22" i="3"/>
  <c r="D5" i="3"/>
  <c r="F7" i="3"/>
  <c r="F11" i="3"/>
  <c r="F15" i="3"/>
  <c r="F19" i="3"/>
  <c r="F5" i="3"/>
  <c r="F8" i="3"/>
  <c r="F12" i="3"/>
  <c r="F16" i="3"/>
  <c r="F20" i="3"/>
  <c r="D42" i="3"/>
  <c r="D34" i="3"/>
  <c r="D6" i="3"/>
  <c r="D10" i="3"/>
  <c r="D14" i="3"/>
  <c r="D18" i="3"/>
  <c r="D22" i="3"/>
  <c r="D7" i="3"/>
  <c r="D11" i="3"/>
  <c r="D19" i="3"/>
  <c r="D8" i="3"/>
  <c r="D12" i="3"/>
  <c r="D16" i="3"/>
  <c r="D20" i="3"/>
  <c r="D9" i="3"/>
  <c r="D13" i="3"/>
  <c r="D17" i="3"/>
  <c r="D21" i="3"/>
  <c r="F33" i="3"/>
  <c r="D32" i="3"/>
  <c r="F32" i="3"/>
  <c r="D28" i="3"/>
  <c r="D31" i="3"/>
  <c r="F28" i="3"/>
  <c r="F30" i="3"/>
  <c r="D35" i="3"/>
  <c r="D30" i="3"/>
  <c r="F34" i="3"/>
  <c r="F29" i="3"/>
  <c r="D33" i="3"/>
  <c r="D29" i="3"/>
  <c r="F35" i="3"/>
  <c r="F31" i="3"/>
  <c r="Q19" i="3"/>
  <c r="D250" i="3"/>
  <c r="F231" i="3"/>
  <c r="F238" i="3"/>
  <c r="F239" i="3"/>
  <c r="F240" i="3"/>
  <c r="F241" i="3"/>
  <c r="F242" i="3"/>
  <c r="F243" i="3"/>
  <c r="F244" i="3"/>
  <c r="F237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159" i="3"/>
  <c r="D160" i="3"/>
  <c r="D161" i="3"/>
  <c r="D162" i="3"/>
  <c r="D163" i="3"/>
  <c r="D164" i="3"/>
  <c r="D165" i="3"/>
  <c r="D166" i="3"/>
  <c r="D159" i="3"/>
  <c r="D149" i="3"/>
  <c r="F160" i="3"/>
  <c r="F161" i="3"/>
  <c r="F162" i="3"/>
  <c r="F163" i="3"/>
  <c r="F164" i="3"/>
  <c r="F165" i="3"/>
  <c r="F166" i="3"/>
  <c r="F145" i="3"/>
  <c r="D153" i="3"/>
  <c r="F137" i="3"/>
  <c r="F138" i="3"/>
  <c r="F139" i="3"/>
  <c r="F140" i="3"/>
  <c r="F141" i="3"/>
  <c r="F142" i="3"/>
  <c r="F143" i="3"/>
  <c r="F144" i="3"/>
  <c r="F146" i="3"/>
  <c r="F147" i="3"/>
  <c r="F148" i="3"/>
  <c r="F149" i="3"/>
  <c r="F150" i="3"/>
  <c r="F151" i="3"/>
  <c r="F152" i="3"/>
  <c r="F153" i="3"/>
  <c r="F136" i="3"/>
  <c r="F97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50" i="3"/>
  <c r="D151" i="3"/>
  <c r="D152" i="3"/>
  <c r="D97" i="3"/>
  <c r="F121" i="3"/>
  <c r="F122" i="3"/>
  <c r="F123" i="3"/>
  <c r="F124" i="3"/>
  <c r="F125" i="3"/>
  <c r="F126" i="3"/>
  <c r="F127" i="3"/>
  <c r="F120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20" i="3"/>
  <c r="D121" i="3"/>
  <c r="D122" i="3"/>
  <c r="D123" i="3"/>
  <c r="D124" i="3"/>
  <c r="D125" i="3"/>
  <c r="D126" i="3"/>
  <c r="D127" i="3"/>
  <c r="D74" i="3"/>
  <c r="F176" i="3"/>
  <c r="F175" i="3"/>
  <c r="F199" i="3"/>
  <c r="F200" i="3"/>
  <c r="F201" i="3"/>
  <c r="F202" i="3"/>
  <c r="F203" i="3"/>
  <c r="F204" i="3"/>
  <c r="F205" i="3"/>
  <c r="F198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88" i="3"/>
  <c r="F87" i="3"/>
  <c r="D87" i="3"/>
  <c r="D88" i="3"/>
  <c r="F75" i="3"/>
  <c r="F76" i="3"/>
  <c r="F77" i="3"/>
  <c r="F78" i="3"/>
  <c r="F79" i="3"/>
  <c r="F80" i="3"/>
  <c r="F81" i="3"/>
  <c r="F74" i="3"/>
  <c r="F67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8" i="3"/>
  <c r="F51" i="3"/>
  <c r="F52" i="3"/>
  <c r="D75" i="3"/>
  <c r="D76" i="3"/>
  <c r="D77" i="3"/>
  <c r="D78" i="3"/>
  <c r="D79" i="3"/>
  <c r="D80" i="3"/>
  <c r="D81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C20" i="4"/>
  <c r="F232" i="3" l="1"/>
  <c r="F250" i="3" s="1"/>
  <c r="F193" i="3"/>
  <c r="G176" i="3" s="1"/>
  <c r="D89" i="3"/>
  <c r="E88" i="3" s="1"/>
  <c r="F89" i="3"/>
  <c r="G87" i="3" s="1"/>
  <c r="L20" i="4"/>
  <c r="G231" i="3" l="1"/>
  <c r="G225" i="3"/>
  <c r="G224" i="3"/>
  <c r="G221" i="3"/>
  <c r="G228" i="3"/>
  <c r="G219" i="3"/>
  <c r="G230" i="3"/>
  <c r="G220" i="3"/>
  <c r="G217" i="3"/>
  <c r="G227" i="3"/>
  <c r="G226" i="3"/>
  <c r="G223" i="3"/>
  <c r="G222" i="3"/>
  <c r="G229" i="3"/>
  <c r="G214" i="3"/>
  <c r="G216" i="3"/>
  <c r="G215" i="3"/>
  <c r="G218" i="3"/>
  <c r="G188" i="3"/>
  <c r="G190" i="3"/>
  <c r="G180" i="3"/>
  <c r="G179" i="3"/>
  <c r="G182" i="3"/>
  <c r="G186" i="3"/>
  <c r="G191" i="3"/>
  <c r="G178" i="3"/>
  <c r="G183" i="3"/>
  <c r="G189" i="3"/>
  <c r="G192" i="3"/>
  <c r="G187" i="3"/>
  <c r="G175" i="3"/>
  <c r="G185" i="3"/>
  <c r="G181" i="3"/>
  <c r="G184" i="3"/>
  <c r="G177" i="3"/>
  <c r="G88" i="3"/>
  <c r="G89" i="3" s="1"/>
  <c r="E87" i="3"/>
  <c r="J20" i="4"/>
  <c r="M20" i="4"/>
  <c r="N20" i="4"/>
  <c r="O20" i="4"/>
  <c r="P20" i="4"/>
  <c r="R20" i="4"/>
  <c r="S20" i="4"/>
  <c r="T20" i="4"/>
  <c r="D251" i="3"/>
  <c r="D252" i="3" l="1"/>
  <c r="F245" i="3"/>
  <c r="F206" i="3"/>
  <c r="D167" i="3"/>
  <c r="D154" i="3"/>
  <c r="F154" i="3"/>
  <c r="F167" i="3"/>
  <c r="D115" i="3"/>
  <c r="D128" i="3"/>
  <c r="F115" i="3"/>
  <c r="F128" i="3"/>
  <c r="D69" i="3"/>
  <c r="D82" i="3"/>
  <c r="F69" i="3"/>
  <c r="F82" i="3"/>
  <c r="E160" i="3" l="1"/>
  <c r="E159" i="3"/>
  <c r="E166" i="3"/>
  <c r="E165" i="3"/>
  <c r="E164" i="3"/>
  <c r="E163" i="3"/>
  <c r="E162" i="3"/>
  <c r="E161" i="3"/>
  <c r="E120" i="3"/>
  <c r="E122" i="3"/>
  <c r="E125" i="3"/>
  <c r="E123" i="3"/>
  <c r="E121" i="3"/>
  <c r="E124" i="3"/>
  <c r="E127" i="3"/>
  <c r="E126" i="3"/>
  <c r="G126" i="3"/>
  <c r="G125" i="3"/>
  <c r="G124" i="3"/>
  <c r="G127" i="3"/>
  <c r="G121" i="3"/>
  <c r="G120" i="3"/>
  <c r="G123" i="3"/>
  <c r="G122" i="3"/>
  <c r="G163" i="3"/>
  <c r="G162" i="3"/>
  <c r="G161" i="3"/>
  <c r="G159" i="3"/>
  <c r="G164" i="3"/>
  <c r="G166" i="3"/>
  <c r="G165" i="3"/>
  <c r="G160" i="3"/>
  <c r="G199" i="3"/>
  <c r="G201" i="3"/>
  <c r="G202" i="3"/>
  <c r="G200" i="3"/>
  <c r="G203" i="3"/>
  <c r="G205" i="3"/>
  <c r="G198" i="3"/>
  <c r="G204" i="3"/>
  <c r="F251" i="3"/>
  <c r="G244" i="3"/>
  <c r="G240" i="3"/>
  <c r="G243" i="3"/>
  <c r="G242" i="3"/>
  <c r="G239" i="3"/>
  <c r="G238" i="3"/>
  <c r="G237" i="3"/>
  <c r="G241" i="3"/>
  <c r="E251" i="3"/>
  <c r="E250" i="3"/>
  <c r="G138" i="3"/>
  <c r="G142" i="3"/>
  <c r="G146" i="3"/>
  <c r="G150" i="3"/>
  <c r="G136" i="3"/>
  <c r="G139" i="3"/>
  <c r="G143" i="3"/>
  <c r="G151" i="3"/>
  <c r="G140" i="3"/>
  <c r="G144" i="3"/>
  <c r="G148" i="3"/>
  <c r="G152" i="3"/>
  <c r="G137" i="3"/>
  <c r="G141" i="3"/>
  <c r="G145" i="3"/>
  <c r="G149" i="3"/>
  <c r="G153" i="3"/>
  <c r="G147" i="3"/>
  <c r="E140" i="3"/>
  <c r="E144" i="3"/>
  <c r="E148" i="3"/>
  <c r="E152" i="3"/>
  <c r="E137" i="3"/>
  <c r="E141" i="3"/>
  <c r="E145" i="3"/>
  <c r="E149" i="3"/>
  <c r="E153" i="3"/>
  <c r="E138" i="3"/>
  <c r="E142" i="3"/>
  <c r="E146" i="3"/>
  <c r="E150" i="3"/>
  <c r="E139" i="3"/>
  <c r="E143" i="3"/>
  <c r="E147" i="3"/>
  <c r="E151" i="3"/>
  <c r="E136" i="3"/>
  <c r="E99" i="3"/>
  <c r="E103" i="3"/>
  <c r="E107" i="3"/>
  <c r="E111" i="3"/>
  <c r="E100" i="3"/>
  <c r="E104" i="3"/>
  <c r="E108" i="3"/>
  <c r="E112" i="3"/>
  <c r="E101" i="3"/>
  <c r="E105" i="3"/>
  <c r="E109" i="3"/>
  <c r="E113" i="3"/>
  <c r="E98" i="3"/>
  <c r="E102" i="3"/>
  <c r="E106" i="3"/>
  <c r="E110" i="3"/>
  <c r="E114" i="3"/>
  <c r="E97" i="3"/>
  <c r="G98" i="3"/>
  <c r="G102" i="3"/>
  <c r="G106" i="3"/>
  <c r="G110" i="3"/>
  <c r="G114" i="3"/>
  <c r="G99" i="3"/>
  <c r="G103" i="3"/>
  <c r="G107" i="3"/>
  <c r="G111" i="3"/>
  <c r="G100" i="3"/>
  <c r="G104" i="3"/>
  <c r="G108" i="3"/>
  <c r="G112" i="3"/>
  <c r="G101" i="3"/>
  <c r="G105" i="3"/>
  <c r="G109" i="3"/>
  <c r="G113" i="3"/>
  <c r="G97" i="3"/>
  <c r="G77" i="3"/>
  <c r="G81" i="3"/>
  <c r="G78" i="3"/>
  <c r="G74" i="3"/>
  <c r="G80" i="3"/>
  <c r="G76" i="3"/>
  <c r="G79" i="3"/>
  <c r="G75" i="3"/>
  <c r="G54" i="3"/>
  <c r="G58" i="3"/>
  <c r="G62" i="3"/>
  <c r="G66" i="3"/>
  <c r="G55" i="3"/>
  <c r="G59" i="3"/>
  <c r="G63" i="3"/>
  <c r="G67" i="3"/>
  <c r="G65" i="3"/>
  <c r="G60" i="3"/>
  <c r="G61" i="3"/>
  <c r="G56" i="3"/>
  <c r="G57" i="3"/>
  <c r="G51" i="3"/>
  <c r="G68" i="3"/>
  <c r="G52" i="3"/>
  <c r="G53" i="3"/>
  <c r="G64" i="3"/>
  <c r="E77" i="3"/>
  <c r="E81" i="3"/>
  <c r="E78" i="3"/>
  <c r="E74" i="3"/>
  <c r="E80" i="3"/>
  <c r="E79" i="3"/>
  <c r="E76" i="3"/>
  <c r="E75" i="3"/>
  <c r="E53" i="3"/>
  <c r="E57" i="3"/>
  <c r="E61" i="3"/>
  <c r="E65" i="3"/>
  <c r="E54" i="3"/>
  <c r="E58" i="3"/>
  <c r="E62" i="3"/>
  <c r="E66" i="3"/>
  <c r="E55" i="3"/>
  <c r="E59" i="3"/>
  <c r="E63" i="3"/>
  <c r="E67" i="3"/>
  <c r="E68" i="3"/>
  <c r="E52" i="3"/>
  <c r="E51" i="3"/>
  <c r="E64" i="3"/>
  <c r="E60" i="3"/>
  <c r="E56" i="3"/>
  <c r="J42" i="3" l="1"/>
  <c r="J41" i="3"/>
  <c r="J29" i="3" l="1"/>
  <c r="J30" i="3"/>
  <c r="J31" i="3"/>
  <c r="J32" i="3"/>
  <c r="J33" i="3"/>
  <c r="J34" i="3"/>
  <c r="J35" i="3"/>
  <c r="J2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K20" i="4"/>
  <c r="Q20" i="4"/>
  <c r="U20" i="4"/>
  <c r="J199" i="3"/>
  <c r="J200" i="3"/>
  <c r="J201" i="3"/>
  <c r="J202" i="3"/>
  <c r="J203" i="3"/>
  <c r="J204" i="3"/>
  <c r="J205" i="3"/>
  <c r="J198" i="3"/>
  <c r="Q16" i="3" l="1"/>
  <c r="Q12" i="3"/>
  <c r="Q8" i="3"/>
  <c r="Q4" i="3"/>
  <c r="Q15" i="3"/>
  <c r="Q11" i="3"/>
  <c r="Q7" i="3"/>
  <c r="Q3" i="3"/>
  <c r="Q18" i="3"/>
  <c r="Q14" i="3"/>
  <c r="Q10" i="3"/>
  <c r="Q6" i="3"/>
  <c r="Q2" i="3"/>
  <c r="Q17" i="3"/>
  <c r="Q13" i="3"/>
  <c r="Q9" i="3"/>
  <c r="Q5" i="3"/>
  <c r="J206" i="3"/>
  <c r="K203" i="3" s="1"/>
  <c r="L113" i="3"/>
  <c r="J152" i="3"/>
  <c r="L152" i="3"/>
  <c r="J191" i="3"/>
  <c r="J113" i="3"/>
  <c r="J67" i="3"/>
  <c r="L67" i="3"/>
  <c r="J63" i="3"/>
  <c r="L63" i="3"/>
  <c r="L148" i="3"/>
  <c r="L109" i="3"/>
  <c r="J187" i="3"/>
  <c r="J148" i="3"/>
  <c r="J109" i="3"/>
  <c r="J140" i="3"/>
  <c r="J163" i="3"/>
  <c r="J179" i="3"/>
  <c r="J101" i="3"/>
  <c r="L55" i="3"/>
  <c r="J55" i="3"/>
  <c r="L140" i="3"/>
  <c r="L101" i="3"/>
  <c r="L97" i="3"/>
  <c r="L136" i="3"/>
  <c r="J136" i="3"/>
  <c r="J175" i="3"/>
  <c r="J97" i="3"/>
  <c r="J159" i="3"/>
  <c r="J51" i="3"/>
  <c r="L51" i="3"/>
  <c r="J125" i="3"/>
  <c r="J79" i="3"/>
  <c r="L79" i="3"/>
  <c r="L164" i="3"/>
  <c r="L125" i="3"/>
  <c r="J75" i="3"/>
  <c r="L75" i="3"/>
  <c r="L121" i="3"/>
  <c r="J121" i="3"/>
  <c r="L160" i="3"/>
  <c r="J144" i="3"/>
  <c r="J105" i="3"/>
  <c r="L105" i="3"/>
  <c r="L59" i="3"/>
  <c r="J59" i="3"/>
  <c r="L144" i="3"/>
  <c r="J183" i="3"/>
  <c r="L66" i="3"/>
  <c r="L112" i="3"/>
  <c r="J151" i="3"/>
  <c r="L151" i="3"/>
  <c r="J66" i="3"/>
  <c r="J112" i="3"/>
  <c r="J190" i="3"/>
  <c r="J108" i="3"/>
  <c r="L108" i="3"/>
  <c r="J147" i="3"/>
  <c r="L62" i="3"/>
  <c r="L147" i="3"/>
  <c r="J62" i="3"/>
  <c r="J186" i="3"/>
  <c r="J182" i="3"/>
  <c r="L143" i="3"/>
  <c r="L104" i="3"/>
  <c r="J143" i="3"/>
  <c r="J166" i="3"/>
  <c r="L58" i="3"/>
  <c r="J104" i="3"/>
  <c r="J58" i="3"/>
  <c r="J162" i="3"/>
  <c r="J54" i="3"/>
  <c r="J100" i="3"/>
  <c r="L54" i="3"/>
  <c r="J178" i="3"/>
  <c r="L139" i="3"/>
  <c r="L100" i="3"/>
  <c r="J139" i="3"/>
  <c r="L120" i="3"/>
  <c r="L74" i="3"/>
  <c r="L159" i="3"/>
  <c r="J74" i="3"/>
  <c r="J120" i="3"/>
  <c r="L124" i="3"/>
  <c r="L163" i="3"/>
  <c r="J78" i="3"/>
  <c r="J124" i="3"/>
  <c r="L78" i="3"/>
  <c r="J111" i="3"/>
  <c r="L111" i="3"/>
  <c r="L150" i="3"/>
  <c r="J65" i="3"/>
  <c r="J189" i="3"/>
  <c r="L65" i="3"/>
  <c r="J150" i="3"/>
  <c r="J185" i="3"/>
  <c r="L61" i="3"/>
  <c r="J61" i="3"/>
  <c r="J107" i="3"/>
  <c r="L107" i="3"/>
  <c r="J146" i="3"/>
  <c r="L146" i="3"/>
  <c r="J181" i="3"/>
  <c r="J165" i="3"/>
  <c r="L57" i="3"/>
  <c r="J57" i="3"/>
  <c r="J103" i="3"/>
  <c r="L103" i="3"/>
  <c r="J142" i="3"/>
  <c r="L142" i="3"/>
  <c r="L138" i="3"/>
  <c r="L53" i="3"/>
  <c r="J161" i="3"/>
  <c r="J177" i="3"/>
  <c r="J53" i="3"/>
  <c r="J99" i="3"/>
  <c r="L99" i="3"/>
  <c r="J138" i="3"/>
  <c r="L127" i="3"/>
  <c r="J127" i="3"/>
  <c r="L166" i="3"/>
  <c r="J81" i="3"/>
  <c r="L81" i="3"/>
  <c r="J123" i="3"/>
  <c r="L77" i="3"/>
  <c r="L123" i="3"/>
  <c r="J77" i="3"/>
  <c r="L162" i="3"/>
  <c r="L68" i="3"/>
  <c r="J192" i="3"/>
  <c r="J68" i="3"/>
  <c r="L114" i="3"/>
  <c r="J114" i="3"/>
  <c r="L153" i="3"/>
  <c r="J153" i="3"/>
  <c r="J149" i="3"/>
  <c r="J110" i="3"/>
  <c r="L64" i="3"/>
  <c r="L149" i="3"/>
  <c r="J64" i="3"/>
  <c r="J188" i="3"/>
  <c r="L110" i="3"/>
  <c r="L106" i="3"/>
  <c r="J145" i="3"/>
  <c r="J106" i="3"/>
  <c r="J184" i="3"/>
  <c r="L60" i="3"/>
  <c r="L145" i="3"/>
  <c r="J60" i="3"/>
  <c r="J180" i="3"/>
  <c r="J164" i="3"/>
  <c r="L102" i="3"/>
  <c r="J141" i="3"/>
  <c r="J102" i="3"/>
  <c r="L56" i="3"/>
  <c r="J56" i="3"/>
  <c r="L141" i="3"/>
  <c r="J52" i="3"/>
  <c r="L137" i="3"/>
  <c r="J176" i="3"/>
  <c r="L52" i="3"/>
  <c r="L98" i="3"/>
  <c r="J137" i="3"/>
  <c r="J160" i="3"/>
  <c r="J98" i="3"/>
  <c r="L126" i="3"/>
  <c r="L165" i="3"/>
  <c r="J126" i="3"/>
  <c r="J80" i="3"/>
  <c r="L80" i="3"/>
  <c r="J76" i="3"/>
  <c r="L76" i="3"/>
  <c r="J122" i="3"/>
  <c r="L122" i="3"/>
  <c r="L161" i="3"/>
  <c r="D23" i="3"/>
  <c r="E5" i="3" s="1"/>
  <c r="D36" i="3"/>
  <c r="D43" i="3"/>
  <c r="E41" i="3" s="1"/>
  <c r="F36" i="3"/>
  <c r="F23" i="3"/>
  <c r="K204" i="3" l="1"/>
  <c r="K201" i="3"/>
  <c r="K198" i="3"/>
  <c r="K205" i="3"/>
  <c r="K199" i="3"/>
  <c r="K200" i="3"/>
  <c r="K202" i="3"/>
  <c r="L167" i="3"/>
  <c r="M159" i="3" s="1"/>
  <c r="J167" i="3"/>
  <c r="K163" i="3" s="1"/>
  <c r="L154" i="3"/>
  <c r="M145" i="3" s="1"/>
  <c r="L82" i="3"/>
  <c r="M77" i="3" s="1"/>
  <c r="J115" i="3"/>
  <c r="K106" i="3" s="1"/>
  <c r="L115" i="3"/>
  <c r="M100" i="3" s="1"/>
  <c r="J128" i="3"/>
  <c r="K122" i="3" s="1"/>
  <c r="L128" i="3"/>
  <c r="M124" i="3" s="1"/>
  <c r="L69" i="3"/>
  <c r="M55" i="3" s="1"/>
  <c r="J193" i="3"/>
  <c r="K188" i="3" s="1"/>
  <c r="J82" i="3"/>
  <c r="K76" i="3" s="1"/>
  <c r="M79" i="3"/>
  <c r="J69" i="3"/>
  <c r="K66" i="3" s="1"/>
  <c r="J154" i="3"/>
  <c r="K149" i="3" s="1"/>
  <c r="F41" i="3"/>
  <c r="E16" i="3"/>
  <c r="E10" i="3"/>
  <c r="E11" i="3"/>
  <c r="E18" i="3"/>
  <c r="E19" i="3"/>
  <c r="G28" i="3"/>
  <c r="M28" i="3" s="1"/>
  <c r="F42" i="3"/>
  <c r="E42" i="3"/>
  <c r="E17" i="3"/>
  <c r="E6" i="3"/>
  <c r="E12" i="3"/>
  <c r="E20" i="3"/>
  <c r="E7" i="3"/>
  <c r="E21" i="3"/>
  <c r="E8" i="3"/>
  <c r="E9" i="3"/>
  <c r="E22" i="3"/>
  <c r="E29" i="3"/>
  <c r="E33" i="3"/>
  <c r="E30" i="3"/>
  <c r="E31" i="3"/>
  <c r="E32" i="3"/>
  <c r="E13" i="3"/>
  <c r="E34" i="3"/>
  <c r="E14" i="3"/>
  <c r="E35" i="3"/>
  <c r="E15" i="3"/>
  <c r="E28" i="3"/>
  <c r="G31" i="3"/>
  <c r="M31" i="3" s="1"/>
  <c r="G35" i="3"/>
  <c r="M35" i="3" s="1"/>
  <c r="G32" i="3"/>
  <c r="M32" i="3" s="1"/>
  <c r="G29" i="3"/>
  <c r="M29" i="3" s="1"/>
  <c r="G33" i="3"/>
  <c r="M33" i="3" s="1"/>
  <c r="G30" i="3"/>
  <c r="M30" i="3" s="1"/>
  <c r="G34" i="3"/>
  <c r="M34" i="3" s="1"/>
  <c r="G16" i="3"/>
  <c r="M16" i="3" s="1"/>
  <c r="G20" i="3"/>
  <c r="M20" i="3" s="1"/>
  <c r="G7" i="3"/>
  <c r="M7" i="3" s="1"/>
  <c r="G10" i="3"/>
  <c r="M10" i="3" s="1"/>
  <c r="G13" i="3"/>
  <c r="M13" i="3" s="1"/>
  <c r="G17" i="3"/>
  <c r="M17" i="3" s="1"/>
  <c r="G21" i="3"/>
  <c r="M21" i="3" s="1"/>
  <c r="G6" i="3"/>
  <c r="M6" i="3" s="1"/>
  <c r="G8" i="3"/>
  <c r="M8" i="3" s="1"/>
  <c r="G11" i="3"/>
  <c r="M11" i="3" s="1"/>
  <c r="G14" i="3"/>
  <c r="M14" i="3" s="1"/>
  <c r="G18" i="3"/>
  <c r="M18" i="3" s="1"/>
  <c r="G9" i="3"/>
  <c r="M9" i="3" s="1"/>
  <c r="G12" i="3"/>
  <c r="M12" i="3" s="1"/>
  <c r="G15" i="3"/>
  <c r="M15" i="3" s="1"/>
  <c r="G19" i="3"/>
  <c r="M19" i="3" s="1"/>
  <c r="G22" i="3"/>
  <c r="M22" i="3" s="1"/>
  <c r="G5" i="3"/>
  <c r="M5" i="3" l="1"/>
  <c r="N16" i="3"/>
  <c r="M126" i="3"/>
  <c r="K166" i="3"/>
  <c r="M75" i="3"/>
  <c r="M161" i="3"/>
  <c r="K165" i="3"/>
  <c r="K186" i="3"/>
  <c r="M142" i="3"/>
  <c r="K182" i="3"/>
  <c r="K107" i="3"/>
  <c r="K164" i="3"/>
  <c r="K113" i="3"/>
  <c r="K51" i="3"/>
  <c r="K101" i="3"/>
  <c r="M139" i="3"/>
  <c r="M80" i="3"/>
  <c r="K105" i="3"/>
  <c r="M64" i="3"/>
  <c r="M113" i="3"/>
  <c r="M54" i="3"/>
  <c r="K102" i="3"/>
  <c r="M101" i="3"/>
  <c r="M164" i="3"/>
  <c r="K162" i="3"/>
  <c r="M81" i="3"/>
  <c r="K97" i="3"/>
  <c r="M74" i="3"/>
  <c r="M76" i="3"/>
  <c r="M51" i="3"/>
  <c r="K121" i="3"/>
  <c r="K126" i="3"/>
  <c r="K78" i="3"/>
  <c r="M110" i="3"/>
  <c r="K181" i="3"/>
  <c r="K137" i="3"/>
  <c r="M105" i="3"/>
  <c r="M136" i="3"/>
  <c r="K144" i="3"/>
  <c r="K138" i="3"/>
  <c r="K179" i="3"/>
  <c r="M112" i="3"/>
  <c r="K139" i="3"/>
  <c r="M111" i="3"/>
  <c r="K81" i="3"/>
  <c r="K180" i="3"/>
  <c r="K152" i="3"/>
  <c r="M144" i="3"/>
  <c r="K120" i="3"/>
  <c r="K108" i="3"/>
  <c r="K127" i="3"/>
  <c r="M102" i="3"/>
  <c r="K187" i="3"/>
  <c r="K79" i="3"/>
  <c r="K161" i="3"/>
  <c r="M107" i="3"/>
  <c r="M114" i="3"/>
  <c r="M104" i="3"/>
  <c r="M140" i="3"/>
  <c r="K147" i="3"/>
  <c r="K74" i="3"/>
  <c r="M146" i="3"/>
  <c r="M153" i="3"/>
  <c r="M62" i="3"/>
  <c r="K178" i="3"/>
  <c r="K124" i="3"/>
  <c r="K153" i="3"/>
  <c r="M109" i="3"/>
  <c r="K125" i="3"/>
  <c r="M147" i="3"/>
  <c r="M78" i="3"/>
  <c r="K123" i="3"/>
  <c r="K160" i="3"/>
  <c r="K75" i="3"/>
  <c r="K59" i="3"/>
  <c r="K57" i="3"/>
  <c r="K67" i="3"/>
  <c r="K143" i="3"/>
  <c r="M65" i="3"/>
  <c r="M123" i="3"/>
  <c r="K52" i="3"/>
  <c r="M122" i="3"/>
  <c r="M148" i="3"/>
  <c r="K151" i="3"/>
  <c r="M120" i="3"/>
  <c r="M150" i="3"/>
  <c r="K103" i="3"/>
  <c r="M149" i="3"/>
  <c r="M56" i="3"/>
  <c r="M152" i="3"/>
  <c r="K183" i="3"/>
  <c r="M143" i="3"/>
  <c r="K65" i="3"/>
  <c r="M103" i="3"/>
  <c r="K64" i="3"/>
  <c r="K56" i="3"/>
  <c r="M160" i="3"/>
  <c r="M108" i="3"/>
  <c r="K100" i="3"/>
  <c r="M163" i="3"/>
  <c r="K146" i="3"/>
  <c r="M99" i="3"/>
  <c r="K114" i="3"/>
  <c r="K60" i="3"/>
  <c r="K98" i="3"/>
  <c r="M127" i="3"/>
  <c r="M63" i="3"/>
  <c r="K148" i="3"/>
  <c r="K136" i="3"/>
  <c r="K112" i="3"/>
  <c r="K58" i="3"/>
  <c r="K61" i="3"/>
  <c r="K177" i="3"/>
  <c r="K192" i="3"/>
  <c r="K184" i="3"/>
  <c r="M98" i="3"/>
  <c r="M165" i="3"/>
  <c r="K109" i="3"/>
  <c r="K175" i="3"/>
  <c r="M121" i="3"/>
  <c r="K190" i="3"/>
  <c r="K150" i="3"/>
  <c r="M138" i="3"/>
  <c r="K77" i="3"/>
  <c r="M106" i="3"/>
  <c r="M137" i="3"/>
  <c r="M67" i="3"/>
  <c r="M97" i="3"/>
  <c r="M125" i="3"/>
  <c r="M151" i="3"/>
  <c r="M58" i="3"/>
  <c r="K185" i="3"/>
  <c r="M53" i="3"/>
  <c r="M162" i="3"/>
  <c r="K145" i="3"/>
  <c r="K176" i="3"/>
  <c r="K191" i="3"/>
  <c r="K55" i="3"/>
  <c r="K159" i="3"/>
  <c r="M59" i="3"/>
  <c r="K62" i="3"/>
  <c r="K111" i="3"/>
  <c r="M57" i="3"/>
  <c r="M166" i="3"/>
  <c r="K110" i="3"/>
  <c r="K141" i="3"/>
  <c r="K80" i="3"/>
  <c r="K53" i="3"/>
  <c r="K68" i="3"/>
  <c r="M60" i="3"/>
  <c r="K54" i="3"/>
  <c r="K99" i="3"/>
  <c r="K63" i="3"/>
  <c r="M66" i="3"/>
  <c r="K189" i="3"/>
  <c r="K142" i="3"/>
  <c r="M141" i="3"/>
  <c r="K140" i="3"/>
  <c r="K104" i="3"/>
  <c r="M61" i="3"/>
  <c r="M68" i="3"/>
  <c r="M52" i="3"/>
  <c r="E89" i="3"/>
  <c r="E167" i="3"/>
  <c r="E115" i="3"/>
  <c r="E82" i="3"/>
  <c r="G167" i="3"/>
  <c r="G128" i="3"/>
  <c r="E69" i="3"/>
  <c r="E252" i="3"/>
  <c r="G154" i="3"/>
  <c r="E128" i="3"/>
  <c r="G232" i="3"/>
  <c r="G69" i="3"/>
  <c r="F252" i="3"/>
  <c r="G206" i="3"/>
  <c r="G245" i="3"/>
  <c r="G82" i="3"/>
  <c r="E154" i="3"/>
  <c r="G193" i="3"/>
  <c r="G115" i="3"/>
  <c r="N28" i="3"/>
  <c r="N34" i="3"/>
  <c r="N32" i="3"/>
  <c r="N22" i="3"/>
  <c r="N21" i="3"/>
  <c r="N35" i="3"/>
  <c r="N29" i="3"/>
  <c r="N20" i="3"/>
  <c r="N11" i="3"/>
  <c r="N14" i="3"/>
  <c r="N31" i="3"/>
  <c r="N8" i="3"/>
  <c r="N12" i="3"/>
  <c r="N17" i="3"/>
  <c r="N19" i="3"/>
  <c r="N30" i="3"/>
  <c r="N6" i="3"/>
  <c r="N10" i="3"/>
  <c r="N15" i="3"/>
  <c r="N13" i="3"/>
  <c r="N33" i="3"/>
  <c r="N9" i="3"/>
  <c r="N7" i="3"/>
  <c r="N18" i="3"/>
  <c r="E43" i="3"/>
  <c r="F43" i="3"/>
  <c r="G41" i="3" s="1"/>
  <c r="M41" i="3" s="1"/>
  <c r="N41" i="3" s="1"/>
  <c r="E23" i="3"/>
  <c r="G36" i="3"/>
  <c r="E36" i="3"/>
  <c r="G23" i="3"/>
  <c r="N5" i="3" l="1"/>
  <c r="M82" i="3"/>
  <c r="K167" i="3"/>
  <c r="K128" i="3"/>
  <c r="K115" i="3"/>
  <c r="K69" i="3"/>
  <c r="M115" i="3"/>
  <c r="K82" i="3"/>
  <c r="M167" i="3"/>
  <c r="M69" i="3"/>
  <c r="M154" i="3"/>
  <c r="K154" i="3"/>
  <c r="K206" i="3"/>
  <c r="K193" i="3"/>
  <c r="M128" i="3"/>
  <c r="G250" i="3"/>
  <c r="G251" i="3"/>
  <c r="G42" i="3"/>
  <c r="G43" i="3" l="1"/>
  <c r="M42" i="3"/>
  <c r="N42" i="3" s="1"/>
  <c r="G252" i="3"/>
</calcChain>
</file>

<file path=xl/sharedStrings.xml><?xml version="1.0" encoding="utf-8"?>
<sst xmlns="http://schemas.openxmlformats.org/spreadsheetml/2006/main" count="602" uniqueCount="203">
  <si>
    <t>واحد اداری و تشکیلاتی</t>
  </si>
  <si>
    <t>واحد پشتیبانی</t>
  </si>
  <si>
    <t>واحد عملیاتی</t>
  </si>
  <si>
    <t>بندرعباس</t>
  </si>
  <si>
    <t>تهران</t>
  </si>
  <si>
    <t>واحد مدیریت</t>
  </si>
  <si>
    <t>واحد مالی</t>
  </si>
  <si>
    <t>واحد اداری</t>
  </si>
  <si>
    <t>واحد حمل و نقل</t>
  </si>
  <si>
    <t>واحد تولید</t>
  </si>
  <si>
    <t>واحد حراست</t>
  </si>
  <si>
    <t>واحد انبار</t>
  </si>
  <si>
    <t>واحد آشپزخانه و رستوران</t>
  </si>
  <si>
    <t>واحد تاسیسات</t>
  </si>
  <si>
    <t>واحد تعمیر و نگهداری PM</t>
  </si>
  <si>
    <t>واحد بازرگانی</t>
  </si>
  <si>
    <t>واحد تدارکات</t>
  </si>
  <si>
    <t>واحد فنی و مهندسی و برنامه ریزی</t>
  </si>
  <si>
    <t>واحد کنترل کیفیت QC</t>
  </si>
  <si>
    <t>واحد نصب</t>
  </si>
  <si>
    <t>مدیرعامل</t>
  </si>
  <si>
    <t>قائم مقام مدیرعامل</t>
  </si>
  <si>
    <t>رئیس هیئت مدیره</t>
  </si>
  <si>
    <t>نائب رئیس هیئت مدیره</t>
  </si>
  <si>
    <t>عضو هیئت مدیره</t>
  </si>
  <si>
    <t>مدیر پروژه</t>
  </si>
  <si>
    <t>مدیریت کارخانه</t>
  </si>
  <si>
    <t>معاونت کارخانه</t>
  </si>
  <si>
    <t>انجام امور محوله از سوی کارفرما</t>
  </si>
  <si>
    <t>کمک حسابدار</t>
  </si>
  <si>
    <t>حسابدار حقوق و دستمزد</t>
  </si>
  <si>
    <t>حسابدار فروش</t>
  </si>
  <si>
    <t>حسابدار خرید</t>
  </si>
  <si>
    <t>حسابدار اموال</t>
  </si>
  <si>
    <t>حسابدار انبار</t>
  </si>
  <si>
    <t>حسابدار خزانه</t>
  </si>
  <si>
    <t>حسابدار مالی</t>
  </si>
  <si>
    <t>حسابدار ارشد</t>
  </si>
  <si>
    <t>مسئول حسابداری</t>
  </si>
  <si>
    <t>سرپرست حسابداری</t>
  </si>
  <si>
    <t>مدیر امور مالی</t>
  </si>
  <si>
    <t>مشاور قانون کار و بیمه</t>
  </si>
  <si>
    <t>مشاور مالی و مالیاتی</t>
  </si>
  <si>
    <t>حسابدار مدیریت</t>
  </si>
  <si>
    <t>منشی</t>
  </si>
  <si>
    <t>مسئول اداری</t>
  </si>
  <si>
    <t>مسئول دفتر</t>
  </si>
  <si>
    <t>کارمند اداری</t>
  </si>
  <si>
    <t>کارپرداز</t>
  </si>
  <si>
    <t>مسئول روابط عمومی</t>
  </si>
  <si>
    <t>مسئول IT</t>
  </si>
  <si>
    <t>راننده تریلی</t>
  </si>
  <si>
    <t>راننده لودر</t>
  </si>
  <si>
    <t>راننده جرثقیل</t>
  </si>
  <si>
    <t>راننده لیفتراک</t>
  </si>
  <si>
    <t>راننده تراکتور</t>
  </si>
  <si>
    <t>راننده آکتروس</t>
  </si>
  <si>
    <t>راننده دانگ فنگ</t>
  </si>
  <si>
    <t>کارگر تولید</t>
  </si>
  <si>
    <t>آرماتوربند</t>
  </si>
  <si>
    <t>مسئول تولید</t>
  </si>
  <si>
    <t>راننده کمک میکسر</t>
  </si>
  <si>
    <t>راننده میکسر</t>
  </si>
  <si>
    <t>اپراتور تاورکرین</t>
  </si>
  <si>
    <t>نگهبان</t>
  </si>
  <si>
    <t>سرپرست نگهبان</t>
  </si>
  <si>
    <t>کمک انباردار</t>
  </si>
  <si>
    <t>کارگر انبار</t>
  </si>
  <si>
    <t>سرپرست انبار</t>
  </si>
  <si>
    <t>مدیر انبار</t>
  </si>
  <si>
    <t>آشپز</t>
  </si>
  <si>
    <t>سر آشپز</t>
  </si>
  <si>
    <t>مسئول تاسیسات</t>
  </si>
  <si>
    <t>سرویس کار ماشین آلات و تجهیزات</t>
  </si>
  <si>
    <t>مسئول بازرگانی</t>
  </si>
  <si>
    <t>مسئول خرید</t>
  </si>
  <si>
    <t>کارمند واحد فنی</t>
  </si>
  <si>
    <t>کارشناس فنی</t>
  </si>
  <si>
    <t>مدیر فنی</t>
  </si>
  <si>
    <t>کارشناس برنامه ریزی</t>
  </si>
  <si>
    <t>سرپرست برنامه ریزی</t>
  </si>
  <si>
    <t>سرپرست طرح و توسعه</t>
  </si>
  <si>
    <t>مهندس طراح</t>
  </si>
  <si>
    <t>مهندس محاسبات</t>
  </si>
  <si>
    <t>مهندس نقشه کش</t>
  </si>
  <si>
    <t>مهندس اجرائی کارگاه</t>
  </si>
  <si>
    <t>تکنسین اجرائی کارگاه</t>
  </si>
  <si>
    <t>مهندس کارگاه</t>
  </si>
  <si>
    <t>سرپرست کارگاه</t>
  </si>
  <si>
    <t>کارمند آزمایشگاه</t>
  </si>
  <si>
    <t>مدیر آزمایشگاه</t>
  </si>
  <si>
    <t>کارگر نصب</t>
  </si>
  <si>
    <t>مسئول نصب</t>
  </si>
  <si>
    <t>واحد شغلی</t>
  </si>
  <si>
    <t>سمت شغلی</t>
  </si>
  <si>
    <t>محل خدمت</t>
  </si>
  <si>
    <t>مرکز هزینه</t>
  </si>
  <si>
    <t>ماه</t>
  </si>
  <si>
    <t>کد پرسنلی</t>
  </si>
  <si>
    <t>نام و نام خانوادگی</t>
  </si>
  <si>
    <t>اضافه کاری
(ساعت)</t>
  </si>
  <si>
    <t>مهر</t>
  </si>
  <si>
    <t>آبان</t>
  </si>
  <si>
    <t>فروردین</t>
  </si>
  <si>
    <t>اردیبهشت</t>
  </si>
  <si>
    <t>خرداد</t>
  </si>
  <si>
    <t>تیر</t>
  </si>
  <si>
    <t>مرداد</t>
  </si>
  <si>
    <t>شهریور</t>
  </si>
  <si>
    <t>آذر</t>
  </si>
  <si>
    <t>دی</t>
  </si>
  <si>
    <t>بهمن</t>
  </si>
  <si>
    <t>اسفند</t>
  </si>
  <si>
    <t>تعداد نفرات</t>
  </si>
  <si>
    <t>درصد (تعداد نفرات)</t>
  </si>
  <si>
    <t>جمع پرداختی</t>
  </si>
  <si>
    <t>درصد(جمع پرداختی)</t>
  </si>
  <si>
    <t>کل</t>
  </si>
  <si>
    <t>حمیدرضا حمیدی زاده</t>
  </si>
  <si>
    <t>حیدر محبوبی شمیلی</t>
  </si>
  <si>
    <t>مهران حاجی زاده</t>
  </si>
  <si>
    <t>فتحعلی شفیعی زاده</t>
  </si>
  <si>
    <t>حسین قنبری</t>
  </si>
  <si>
    <t>سعید دامچین</t>
  </si>
  <si>
    <t>اسداله پدرام</t>
  </si>
  <si>
    <t>علیرضا ادیب نیا</t>
  </si>
  <si>
    <t>حسین خنده جام</t>
  </si>
  <si>
    <t>رضا شبانی</t>
  </si>
  <si>
    <t>رجبعلی استوار</t>
  </si>
  <si>
    <t>محمد سالاری نودژ</t>
  </si>
  <si>
    <t>علی محبی نودژ</t>
  </si>
  <si>
    <t>صمد جوادی سلیم آباد</t>
  </si>
  <si>
    <t>حسین سلیمانی</t>
  </si>
  <si>
    <t>مینا بابائی</t>
  </si>
  <si>
    <t>رضا مقدسی</t>
  </si>
  <si>
    <t>اپراتور بچینگ</t>
  </si>
  <si>
    <t>جمع</t>
  </si>
  <si>
    <t>حقوق پرداختنی:</t>
  </si>
  <si>
    <t>درپوش پایین</t>
  </si>
  <si>
    <t>لیبل</t>
  </si>
  <si>
    <t>مقدار واقعی</t>
  </si>
  <si>
    <t>ترنسپرنت</t>
  </si>
  <si>
    <t>درپوش بالا</t>
  </si>
  <si>
    <t>اضافه کاری:</t>
  </si>
  <si>
    <t>جمعه کاری:</t>
  </si>
  <si>
    <t>شب کاری:</t>
  </si>
  <si>
    <t>حق ماموریت:</t>
  </si>
  <si>
    <t>هزینه حقوق و دستمزد:</t>
  </si>
  <si>
    <t>حقوق پرداختنی
(خالص)</t>
  </si>
  <si>
    <t>جمع
حقوق و مزایا</t>
  </si>
  <si>
    <t>مالیات</t>
  </si>
  <si>
    <t>بیمه</t>
  </si>
  <si>
    <t>کارکرد
(ساعت)</t>
  </si>
  <si>
    <t>جمعه کاری
(ساعت)</t>
  </si>
  <si>
    <t>شب کاری
(ساعت)</t>
  </si>
  <si>
    <t>مبلغ
شب کاری</t>
  </si>
  <si>
    <t>مبلغ
جمعه کاری</t>
  </si>
  <si>
    <t>مبلغ
اضافه کاری</t>
  </si>
  <si>
    <t>مبلغ
حق ماموریت</t>
  </si>
  <si>
    <t>ساعت اضافه کاری</t>
  </si>
  <si>
    <t>درصد</t>
  </si>
  <si>
    <t>ساعت جمعه کاری</t>
  </si>
  <si>
    <t>ساعت شب کاری</t>
  </si>
  <si>
    <t>سرانه ساعت</t>
  </si>
  <si>
    <t>درصد سرانه</t>
  </si>
  <si>
    <t>سرانه پرداختی</t>
  </si>
  <si>
    <t>درصد سرانه پرداختی</t>
  </si>
  <si>
    <t>مهمانسرای مدیریت کارخانه بندرعباس (خدمات عمو</t>
  </si>
  <si>
    <t>مهمانسرای کارگری کارخانه (خدمات تخصصی تولید)</t>
  </si>
  <si>
    <t>توزیع و فروش</t>
  </si>
  <si>
    <t>حراست (کارخانه)</t>
  </si>
  <si>
    <t>آشپزخانه (کارخانه)</t>
  </si>
  <si>
    <t>تدارکات (کارخانه)</t>
  </si>
  <si>
    <t>انبار (کارخانه)</t>
  </si>
  <si>
    <t>تاسیسات (کارخانه)</t>
  </si>
  <si>
    <t>فنی تولید (کارخانه)</t>
  </si>
  <si>
    <t>QC و کنترل کیفیت (کارخانه)</t>
  </si>
  <si>
    <t>حمل مواد اولیه (کارخانه)</t>
  </si>
  <si>
    <t>حمل محصولات و سایر (کارخانه)</t>
  </si>
  <si>
    <t>قالب سازی(کارخانه)</t>
  </si>
  <si>
    <t>بتن سازی(کارخانه)</t>
  </si>
  <si>
    <t>بتن ریزی(کارخانه)</t>
  </si>
  <si>
    <t>آرماتور، میلگرد (کارخانه)</t>
  </si>
  <si>
    <t>کیورینگ(کارخانه)</t>
  </si>
  <si>
    <t>مدیریت(کارخانه)</t>
  </si>
  <si>
    <t>اداری(کارخانه)</t>
  </si>
  <si>
    <t>مهمانسرای شهر بندرعباس (کارخانه)</t>
  </si>
  <si>
    <t>خدمات عمومی تولید (کارخانه)</t>
  </si>
  <si>
    <t>مالی (کارخانه)</t>
  </si>
  <si>
    <t>آشپزخانه(دفتر مرکزی)</t>
  </si>
  <si>
    <t>تدارکات(دفتر مرکزی)</t>
  </si>
  <si>
    <t>بازرگانی(دفتر مرکزی)</t>
  </si>
  <si>
    <t>فنی(دفتر مرکزی)</t>
  </si>
  <si>
    <t>مدیریت عامل(دفتر مرکزی)</t>
  </si>
  <si>
    <t>مالی (دفتر مرکزی)</t>
  </si>
  <si>
    <t>اداری (دفتر مرکزی)</t>
  </si>
  <si>
    <t>هیئت مدیره(دفترمرکزی)</t>
  </si>
  <si>
    <t>تعمیر و نگهداری(کارخانه)</t>
  </si>
  <si>
    <t>سال</t>
  </si>
  <si>
    <t>cell link</t>
  </si>
  <si>
    <t>حمل محصولات و سایر(کارخانه)</t>
  </si>
  <si>
    <t>QC و کنترل کیفیت(کارخانه)</t>
  </si>
  <si>
    <t>شاملو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</si>
</sst>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#,##0_ ;\-#,##0\ "/>
    <numFmt numFmtId="165" formatCode="#,##0.00_ ;\-#,##0.00\ "/>
  </numFmts>
  <fonts count="13" x14ac:knownFonts="1">
    <font>
      <sz val="14"/>
      <color theme="1"/>
      <name val="B Nazanin"/>
      <family val="2"/>
      <charset val="178"/>
    </font>
    <font>
      <sz val="14"/>
      <color theme="1"/>
      <name val="B Nazanin"/>
      <family val="2"/>
      <charset val="178"/>
    </font>
    <font>
      <sz val="11"/>
      <color theme="1"/>
      <name val="Arial"/>
      <family val="2"/>
      <charset val="178"/>
      <scheme val="minor"/>
    </font>
    <font>
      <b/>
      <sz val="14"/>
      <color indexed="8"/>
      <name val="B Nazanin"/>
      <charset val="178"/>
    </font>
    <font>
      <sz val="14"/>
      <color theme="1"/>
      <name val="B Nazanin"/>
      <charset val="178"/>
    </font>
    <font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rgb="FFFF0000"/>
      <name val="B Nazanin"/>
      <charset val="178"/>
    </font>
    <font>
      <b/>
      <sz val="11"/>
      <color indexed="8"/>
      <name val="B Nazanin"/>
      <charset val="178"/>
    </font>
    <font>
      <sz val="11"/>
      <color theme="1"/>
      <name val="B Nazanin"/>
      <charset val="178"/>
    </font>
    <font>
      <sz val="11"/>
      <color indexed="8"/>
      <name val="B Nazanin"/>
      <charset val="178"/>
    </font>
    <font>
      <sz val="11"/>
      <color indexed="8"/>
      <name val="B Nazanin"/>
      <family val="2"/>
      <charset val="178"/>
    </font>
    <font>
      <b/>
      <sz val="11"/>
      <color indexed="8"/>
      <name val="B Nazanin"/>
      <family val="2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6AAC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0" fillId="0" borderId="0" xfId="0" applyAlignment="1">
      <alignment horizontal="center" vertical="center" readingOrder="2"/>
    </xf>
    <xf numFmtId="0" fontId="3" fillId="2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12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family val="2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family val="2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B Nazanin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46AAC2"/>
      <color rgb="FFFF0066"/>
      <color rgb="FFFF6600"/>
      <color rgb="FFA27402"/>
      <color rgb="FFA40000"/>
      <color rgb="FFFF2F2F"/>
      <color rgb="FFD00000"/>
      <color rgb="FF2D82AD"/>
      <color rgb="FF3DA1B9"/>
      <color rgb="FF008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D82AD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calc!$C$51:$C$68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 (کارخانه)</c:v>
                </c:pt>
                <c:pt idx="8">
                  <c:v>حمل مواد اولیه (کارخانه)</c:v>
                </c:pt>
                <c:pt idx="9">
                  <c:v>حمل محصولات و سایر 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calc!$G$51:$G$68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0-4DEC-8CD1-579AB275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-27"/>
        <c:axId val="588862256"/>
        <c:axId val="487637312"/>
      </c:barChart>
      <c:catAx>
        <c:axId val="58886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87637312"/>
        <c:crosses val="autoZero"/>
        <c:auto val="1"/>
        <c:lblAlgn val="ctr"/>
        <c:lblOffset val="100"/>
        <c:noMultiLvlLbl val="0"/>
      </c:catAx>
      <c:valAx>
        <c:axId val="48763731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8886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D82AD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calc!$C$74:$C$81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calc!$G$74:$G$81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6-434C-9465-64883B8F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-27"/>
        <c:axId val="588862256"/>
        <c:axId val="487637312"/>
      </c:barChart>
      <c:catAx>
        <c:axId val="58886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87637312"/>
        <c:crosses val="autoZero"/>
        <c:auto val="1"/>
        <c:lblAlgn val="ctr"/>
        <c:lblOffset val="100"/>
        <c:noMultiLvlLbl val="0"/>
      </c:catAx>
      <c:valAx>
        <c:axId val="48763731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8886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465441122115637E-2"/>
          <c:y val="4.2286753833277589E-2"/>
          <c:w val="0.95505655089108366"/>
          <c:h val="0.5648375198834011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F2C-4AB5-A5B9-96E048E4D94D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0F2C-4AB5-A5B9-96E048E4D9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0F2C-4AB5-A5B9-96E048E4D94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0F2C-4AB5-A5B9-96E048E4D94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F2C-4AB5-A5B9-96E048E4D94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0F2C-4AB5-A5B9-96E048E4D94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9A38-477B-9C6C-0D4CC7E451E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9A38-477B-9C6C-0D4CC7E451E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9A38-477B-9C6C-0D4CC7E451ED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9-9A38-477B-9C6C-0D4CC7E45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D-9A38-477B-9C6C-0D4CC7E451ED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2-9A38-477B-9C6C-0D4CC7E451ED}"/>
              </c:ext>
            </c:extLst>
          </c:dPt>
          <c:dPt>
            <c:idx val="12"/>
            <c:invertIfNegative val="0"/>
            <c:bubble3D val="0"/>
            <c:spPr>
              <a:solidFill>
                <a:srgbClr val="D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7-9A38-477B-9C6C-0D4CC7E451ED}"/>
              </c:ext>
            </c:extLst>
          </c:dPt>
          <c:dPt>
            <c:idx val="13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A-9A38-477B-9C6C-0D4CC7E451ED}"/>
              </c:ext>
            </c:extLst>
          </c:dPt>
          <c:dPt>
            <c:idx val="14"/>
            <c:invertIfNegative val="0"/>
            <c:bubble3D val="0"/>
            <c:spPr>
              <a:solidFill>
                <a:srgbClr val="FF2F2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D-9A38-477B-9C6C-0D4CC7E451ED}"/>
              </c:ext>
            </c:extLst>
          </c:dPt>
          <c:dPt>
            <c:idx val="15"/>
            <c:invertIfNegative val="0"/>
            <c:bubble3D val="0"/>
            <c:spPr>
              <a:solidFill>
                <a:srgbClr val="A2740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0-9A38-477B-9C6C-0D4CC7E451ED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4-9A38-477B-9C6C-0D4CC7E451ED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6-9A38-477B-9C6C-0D4CC7E451ED}"/>
              </c:ext>
            </c:extLst>
          </c:dPt>
          <c:cat>
            <c:strRef>
              <c:f>calc!$J$5:$J$22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کیفیت(کارخانه)</c:v>
                </c:pt>
                <c:pt idx="8">
                  <c:v>حمل مواد اولیه (کارخانه)</c:v>
                </c:pt>
                <c:pt idx="9">
                  <c:v>حمل محصولات و سایر(کارخانه)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calc!$K$5:$K$22</c:f>
              <c:numCache>
                <c:formatCode>0%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C-4AB5-A5B9-96E048E4D94D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EDDDC-167D-4CD1-A0F3-32CDE240A350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F2C-4AB5-A5B9-96E048E4D9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00DD23-E49A-4B65-AFD1-1BFBB17DE4E8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F2C-4AB5-A5B9-96E048E4D9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4B4664-83FC-45F3-B489-7CDAEDF0A589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F2C-4AB5-A5B9-96E048E4D94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D4CA77-F90E-4C34-94DC-AA5746BFD95A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F2C-4AB5-A5B9-96E048E4D94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AA59854-6B55-44E3-B20B-D392C854FF6B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F2C-4AB5-A5B9-96E048E4D94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A5428F9-F9EF-4218-A038-E41D64BACB6C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F2C-4AB5-A5B9-96E048E4D94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DFB0CBA-F6A8-4520-9ED0-455A5AE150AB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F2C-4AB5-A5B9-96E048E4D94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7B76E9E-F697-49B5-8492-5C65BA46109B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F2C-4AB5-A5B9-96E048E4D94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8FF59F0-B7BE-4F9C-960D-076C7A0BA895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F2C-4AB5-A5B9-96E048E4D94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A16CDBE-301B-4112-B500-6D828E2A4372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F2C-4AB5-A5B9-96E048E4D94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D654D67-5AA8-43B0-BC55-8B0111810E1C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F2C-4AB5-A5B9-96E048E4D94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252626B-AAC5-4613-9E62-744F4D591329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F2C-4AB5-A5B9-96E048E4D94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A080780-AB83-4558-8A54-402945B89C59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F2C-4AB5-A5B9-96E048E4D94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D76690-4D14-4254-855A-1FE378B1678D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F2C-4AB5-A5B9-96E048E4D94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90EF9A6-3645-482A-BE20-CE134064D8A4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F2C-4AB5-A5B9-96E048E4D94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0095DAA-13FD-43CA-A586-023884D41E00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F2C-4AB5-A5B9-96E048E4D94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89AB237-7062-4C81-8304-9B2D70D45F74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F2C-4AB5-A5B9-96E048E4D94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0A76490-EA4E-49E6-AA71-3C0AD0F5D26E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F2C-4AB5-A5B9-96E048E4D94D}"/>
                </c:ext>
              </c:extLst>
            </c:dLbl>
            <c:numFmt formatCode="[$-3010000]0" sourceLinked="0"/>
            <c:spPr>
              <a:noFill/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73152" tIns="19050" rIns="9144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calc!$J$5:$J$22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کیفیت(کارخانه)</c:v>
                </c:pt>
                <c:pt idx="8">
                  <c:v>حمل مواد اولیه (کارخانه)</c:v>
                </c:pt>
                <c:pt idx="9">
                  <c:v>حمل محصولات و سایر(کارخانه)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calc!$L$5:$L$22</c:f>
              <c:numCache>
                <c:formatCode>0%</c:formatCode>
                <c:ptCount val="1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calc!$M$5:$M$22</c15:f>
                <c15:dlblRangeCache>
                  <c:ptCount val="18"/>
                  <c:pt idx="0">
                    <c:v>23%</c:v>
                  </c:pt>
                  <c:pt idx="1">
                    <c:v>6%</c:v>
                  </c:pt>
                  <c:pt idx="2">
                    <c:v>0%</c:v>
                  </c:pt>
                  <c:pt idx="3">
                    <c:v>6%</c:v>
                  </c:pt>
                  <c:pt idx="4">
                    <c:v>0%</c:v>
                  </c:pt>
                  <c:pt idx="5">
                    <c:v>11%</c:v>
                  </c:pt>
                  <c:pt idx="6">
                    <c:v>3%</c:v>
                  </c:pt>
                  <c:pt idx="7">
                    <c:v>0%</c:v>
                  </c:pt>
                  <c:pt idx="8">
                    <c:v>3%</c:v>
                  </c:pt>
                  <c:pt idx="9">
                    <c:v>0%</c:v>
                  </c:pt>
                  <c:pt idx="10">
                    <c:v>7%</c:v>
                  </c:pt>
                  <c:pt idx="11">
                    <c:v>14%</c:v>
                  </c:pt>
                  <c:pt idx="12">
                    <c:v>14%</c:v>
                  </c:pt>
                  <c:pt idx="13">
                    <c:v>6%</c:v>
                  </c:pt>
                  <c:pt idx="14">
                    <c:v>0%</c:v>
                  </c:pt>
                  <c:pt idx="15">
                    <c:v>0%</c:v>
                  </c:pt>
                  <c:pt idx="16">
                    <c:v>6%</c:v>
                  </c:pt>
                  <c:pt idx="17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0F2C-4AB5-A5B9-96E048E4D94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0F2C-4AB5-A5B9-96E048E4D94D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0F2C-4AB5-A5B9-96E048E4D94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7B5-4DD3-BD3B-38528C48C61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7B5-4DD3-BD3B-38528C48C61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9A38-477B-9C6C-0D4CC7E451E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9A38-477B-9C6C-0D4CC7E45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E-B1A7-4C78-A50D-17196FC826C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3-9A38-477B-9C6C-0D4CC7E451ED}"/>
              </c:ext>
            </c:extLst>
          </c:dPt>
          <c:dPt>
            <c:idx val="12"/>
            <c:invertIfNegative val="0"/>
            <c:bubble3D val="0"/>
            <c:spPr>
              <a:solidFill>
                <a:srgbClr val="D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6-9A38-477B-9C6C-0D4CC7E451ED}"/>
              </c:ext>
            </c:extLst>
          </c:dPt>
          <c:dPt>
            <c:idx val="13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9-9A38-477B-9C6C-0D4CC7E451ED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3-9A38-477B-9C6C-0D4CC7E451ED}"/>
              </c:ext>
            </c:extLst>
          </c:dPt>
          <c:cat>
            <c:strRef>
              <c:f>calc!$J$5:$J$22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کیفیت(کارخانه)</c:v>
                </c:pt>
                <c:pt idx="8">
                  <c:v>حمل مواد اولیه (کارخانه)</c:v>
                </c:pt>
                <c:pt idx="9">
                  <c:v>حمل محصولات و سایر(کارخانه)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calc!$M$5:$M$22</c:f>
              <c:numCache>
                <c:formatCode>0%</c:formatCode>
                <c:ptCount val="18"/>
                <c:pt idx="0">
                  <c:v>0.23180642967046408</c:v>
                </c:pt>
                <c:pt idx="1">
                  <c:v>6.0966945097175769E-2</c:v>
                </c:pt>
                <c:pt idx="2">
                  <c:v>0</c:v>
                </c:pt>
                <c:pt idx="3">
                  <c:v>6.1792601633684149E-2</c:v>
                </c:pt>
                <c:pt idx="4">
                  <c:v>0</c:v>
                </c:pt>
                <c:pt idx="5">
                  <c:v>0.11203385289546175</c:v>
                </c:pt>
                <c:pt idx="6">
                  <c:v>3.314574708440176E-2</c:v>
                </c:pt>
                <c:pt idx="7">
                  <c:v>0</c:v>
                </c:pt>
                <c:pt idx="8">
                  <c:v>2.8080402570227474E-2</c:v>
                </c:pt>
                <c:pt idx="9">
                  <c:v>0</c:v>
                </c:pt>
                <c:pt idx="10">
                  <c:v>7.1399919966687306E-2</c:v>
                </c:pt>
                <c:pt idx="11">
                  <c:v>0.14082164160476879</c:v>
                </c:pt>
                <c:pt idx="12">
                  <c:v>0.13649387968382637</c:v>
                </c:pt>
                <c:pt idx="13">
                  <c:v>5.9179739412483216E-2</c:v>
                </c:pt>
                <c:pt idx="14">
                  <c:v>0</c:v>
                </c:pt>
                <c:pt idx="15">
                  <c:v>0</c:v>
                </c:pt>
                <c:pt idx="16">
                  <c:v>6.4278840380819352E-2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F2C-4AB5-A5B9-96E048E4D94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0F2C-4AB5-A5B9-96E048E4D94D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0F2C-4AB5-A5B9-96E048E4D9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  <a:alpha val="22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0F2C-4AB5-A5B9-96E048E4D94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0F2C-4AB5-A5B9-96E048E4D94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C-0F2C-4AB5-A5B9-96E048E4D94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  <a:alpha val="22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0F2C-4AB5-A5B9-96E048E4D94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9A38-477B-9C6C-0D4CC7E451E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9A38-477B-9C6C-0D4CC7E451E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9A38-477B-9C6C-0D4CC7E451ED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8-9A38-477B-9C6C-0D4CC7E45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C-9A38-477B-9C6C-0D4CC7E451ED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4-9A38-477B-9C6C-0D4CC7E451ED}"/>
              </c:ext>
            </c:extLst>
          </c:dPt>
          <c:dPt>
            <c:idx val="12"/>
            <c:invertIfNegative val="0"/>
            <c:bubble3D val="0"/>
            <c:spPr>
              <a:solidFill>
                <a:srgbClr val="D0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5-9A38-477B-9C6C-0D4CC7E451ED}"/>
              </c:ext>
            </c:extLst>
          </c:dPt>
          <c:dPt>
            <c:idx val="13"/>
            <c:invertIfNegative val="0"/>
            <c:bubble3D val="0"/>
            <c:spPr>
              <a:solidFill>
                <a:srgbClr val="A4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8-9A38-477B-9C6C-0D4CC7E451ED}"/>
              </c:ext>
            </c:extLst>
          </c:dPt>
          <c:dPt>
            <c:idx val="14"/>
            <c:invertIfNegative val="0"/>
            <c:bubble3D val="0"/>
            <c:spPr>
              <a:solidFill>
                <a:srgbClr val="FF2F2F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C-9A38-477B-9C6C-0D4CC7E451ED}"/>
              </c:ext>
            </c:extLst>
          </c:dPt>
          <c:dPt>
            <c:idx val="15"/>
            <c:invertIfNegative val="0"/>
            <c:bubble3D val="0"/>
            <c:spPr>
              <a:solidFill>
                <a:srgbClr val="A27402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F-9A38-477B-9C6C-0D4CC7E451ED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2-9A38-477B-9C6C-0D4CC7E451ED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66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5-9A38-477B-9C6C-0D4CC7E451ED}"/>
              </c:ext>
            </c:extLst>
          </c:dPt>
          <c:cat>
            <c:strRef>
              <c:f>calc!$J$5:$J$22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کیفیت(کارخانه)</c:v>
                </c:pt>
                <c:pt idx="8">
                  <c:v>حمل مواد اولیه (کارخانه)</c:v>
                </c:pt>
                <c:pt idx="9">
                  <c:v>حمل محصولات و سایر(کارخانه)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calc!$N$5:$N$22</c:f>
              <c:numCache>
                <c:formatCode>0%</c:formatCode>
                <c:ptCount val="18"/>
                <c:pt idx="0">
                  <c:v>0.76819357032953595</c:v>
                </c:pt>
                <c:pt idx="1">
                  <c:v>0.93903305490282418</c:v>
                </c:pt>
                <c:pt idx="2">
                  <c:v>1</c:v>
                </c:pt>
                <c:pt idx="3">
                  <c:v>0.93820739836631584</c:v>
                </c:pt>
                <c:pt idx="4">
                  <c:v>1</c:v>
                </c:pt>
                <c:pt idx="5">
                  <c:v>0.88796614710453825</c:v>
                </c:pt>
                <c:pt idx="6">
                  <c:v>0.96685425291559823</c:v>
                </c:pt>
                <c:pt idx="7">
                  <c:v>1</c:v>
                </c:pt>
                <c:pt idx="8">
                  <c:v>0.97191959742977252</c:v>
                </c:pt>
                <c:pt idx="9">
                  <c:v>1</c:v>
                </c:pt>
                <c:pt idx="10">
                  <c:v>0.92860008003331274</c:v>
                </c:pt>
                <c:pt idx="11">
                  <c:v>0.85917835839523127</c:v>
                </c:pt>
                <c:pt idx="12">
                  <c:v>0.86350612031617358</c:v>
                </c:pt>
                <c:pt idx="13">
                  <c:v>0.94082026058751678</c:v>
                </c:pt>
                <c:pt idx="14">
                  <c:v>1</c:v>
                </c:pt>
                <c:pt idx="15">
                  <c:v>1</c:v>
                </c:pt>
                <c:pt idx="16">
                  <c:v>0.93572115961918068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F2C-4AB5-A5B9-96E048E4D94D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0F2C-4AB5-A5B9-96E048E4D94D}"/>
              </c:ext>
            </c:extLst>
          </c:dPt>
          <c:cat>
            <c:strRef>
              <c:f>calc!$J$5:$J$22</c:f>
              <c:strCache>
                <c:ptCount val="18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تدارکات (کارخانه)</c:v>
                </c:pt>
                <c:pt idx="3">
                  <c:v>انبار (کارخانه)</c:v>
                </c:pt>
                <c:pt idx="4">
                  <c:v>تاسیسات (کارخانه)</c:v>
                </c:pt>
                <c:pt idx="5">
                  <c:v>فنی تولید (کارخانه)</c:v>
                </c:pt>
                <c:pt idx="6">
                  <c:v>تعمیر و نگهداری(کارخانه)</c:v>
                </c:pt>
                <c:pt idx="7">
                  <c:v>QC و کنترل کیفیت(کارخانه)</c:v>
                </c:pt>
                <c:pt idx="8">
                  <c:v>حمل مواد اولیه (کارخانه)</c:v>
                </c:pt>
                <c:pt idx="9">
                  <c:v>حمل محصولات و سایر(کارخانه)</c:v>
                </c:pt>
                <c:pt idx="10">
                  <c:v>قالب سازی(کارخانه)</c:v>
                </c:pt>
                <c:pt idx="11">
                  <c:v>بتن سازی(کارخانه)</c:v>
                </c:pt>
                <c:pt idx="12">
                  <c:v>بتن ریزی(کارخانه)</c:v>
                </c:pt>
                <c:pt idx="13">
                  <c:v>آرماتور، میلگرد (کارخانه)</c:v>
                </c:pt>
                <c:pt idx="14">
                  <c:v>کیورینگ(کارخانه)</c:v>
                </c:pt>
                <c:pt idx="15">
                  <c:v>مدیریت(کارخانه)</c:v>
                </c:pt>
                <c:pt idx="16">
                  <c:v>اداری(کارخانه)</c:v>
                </c:pt>
                <c:pt idx="17">
                  <c:v>توزیع و فروش</c:v>
                </c:pt>
              </c:strCache>
            </c:strRef>
          </c:cat>
          <c:val>
            <c:numRef>
              <c:f>calc!$O$5:$O$22</c:f>
              <c:numCache>
                <c:formatCode>0%</c:formatCode>
                <c:ptCount val="1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F2C-4AB5-A5B9-96E048E4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gapDepth val="60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72537994939162E-2"/>
          <c:y val="1.9953713668922325E-2"/>
          <c:w val="0.93454924010121676"/>
          <c:h val="0.9551041442449247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/>
            <a:sp3d/>
          </c:spPr>
          <c:invertIfNegative val="0"/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calc!$K$41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3-4ACC-9547-05F3D1F82DE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calc!$L$41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3-4ACC-9547-05F3D1F82DE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46AAC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calc!$M$41</c:f>
              <c:numCache>
                <c:formatCode>0%</c:formatCode>
                <c:ptCount val="1"/>
                <c:pt idx="0">
                  <c:v>0.79578936576582449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33-4ACC-9547-05F3D1F82DE2}"/>
            </c:ext>
          </c:extLst>
        </c:ser>
        <c:ser>
          <c:idx val="3"/>
          <c:order val="3"/>
          <c:spPr>
            <a:solidFill>
              <a:srgbClr val="46AAC2">
                <a:alpha val="21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calc!$N$41</c:f>
              <c:numCache>
                <c:formatCode>0%</c:formatCode>
                <c:ptCount val="1"/>
                <c:pt idx="0">
                  <c:v>0.20421063423417551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33-4ACC-9547-05F3D1F82DE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calc!$O$41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33-4ACC-9547-05F3D1F82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/>
            <a:sp3d/>
          </c:spPr>
          <c:invertIfNegative val="0"/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calc!$K$42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D-4C9A-9DFD-2AA1A9FD628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calc!$L$42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D-4C9A-9DFD-2AA1A9FD628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46AAC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calc!$M$42</c:f>
              <c:numCache>
                <c:formatCode>0%</c:formatCode>
                <c:ptCount val="1"/>
                <c:pt idx="0">
                  <c:v>0.20421063423417557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D-4C9A-9DFD-2AA1A9FD628F}"/>
            </c:ext>
          </c:extLst>
        </c:ser>
        <c:ser>
          <c:idx val="3"/>
          <c:order val="3"/>
          <c:spPr>
            <a:solidFill>
              <a:srgbClr val="46AAC2">
                <a:alpha val="21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calc!$N$42</c:f>
              <c:numCache>
                <c:formatCode>0%</c:formatCode>
                <c:ptCount val="1"/>
                <c:pt idx="0">
                  <c:v>0.79578936576582437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7D-4C9A-9DFD-2AA1A9FD628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calc!$O$42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7D-4C9A-9DFD-2AA1A9FD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109167249825053E-2"/>
          <c:y val="4.5430066964634142E-2"/>
          <c:w val="0.97778166550034995"/>
          <c:h val="0.5161011701900712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51B-4CB5-B748-CECE1403D492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51B-4CB5-B748-CECE1403D49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51B-4CB5-B748-CECE1403D49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51B-4CB5-B748-CECE1403D4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51B-4CB5-B748-CECE1403D492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51B-4CB5-B748-CECE1403D492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51B-4CB5-B748-CECE1403D4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51B-4CB5-B748-CECE1403D492}"/>
              </c:ext>
            </c:extLst>
          </c:dPt>
          <c:cat>
            <c:strRef>
              <c:f>calc!$J$28:$J$35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calc!$K$28:$K$35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1B-4CB5-B748-CECE1403D492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CF2DEC-3141-43F7-B32C-D2783B54DDDF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51B-4CB5-B748-CECE1403D4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5BB530-D45E-4D78-8DF7-C94169687570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51B-4CB5-B748-CECE1403D4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BBC061-03E4-40C7-A665-431A626D1D8B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51B-4CB5-B748-CECE1403D4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8D244CB-7633-4DBE-86A9-A36543C9690F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51B-4CB5-B748-CECE1403D4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F5772E6-FD95-493C-A0FF-5CC38A841C89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51B-4CB5-B748-CECE1403D4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225218A-BB91-4652-9E9D-20DB8AFD4238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51B-4CB5-B748-CECE1403D4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309E921-AEA9-4946-B3B5-01D31EEEB258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51B-4CB5-B748-CECE1403D49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A2B2763-9A09-4483-B190-A64B8878D0E3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51B-4CB5-B748-CECE1403D492}"/>
                </c:ext>
              </c:extLst>
            </c:dLbl>
            <c:numFmt formatCode="[$-3010000]0" sourceLinked="0"/>
            <c:spPr>
              <a:noFill/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73152" tIns="19050" rIns="9144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calc!$J$28:$J$35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calc!$L$28:$L$35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calc!$M$28:$M$35</c15:f>
                <c15:dlblRangeCache>
                  <c:ptCount val="8"/>
                  <c:pt idx="0">
                    <c:v>0%</c:v>
                  </c:pt>
                  <c:pt idx="1">
                    <c:v>0%</c:v>
                  </c:pt>
                  <c:pt idx="2">
                    <c:v>0%</c:v>
                  </c:pt>
                  <c:pt idx="3">
                    <c:v>0%</c:v>
                  </c:pt>
                  <c:pt idx="4">
                    <c:v>41%</c:v>
                  </c:pt>
                  <c:pt idx="5">
                    <c:v>0%</c:v>
                  </c:pt>
                  <c:pt idx="6">
                    <c:v>34%</c:v>
                  </c:pt>
                  <c:pt idx="7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B51B-4CB5-B748-CECE1403D49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51B-4CB5-B748-CECE1403D492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51B-4CB5-B748-CECE1403D4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51B-4CB5-B748-CECE1403D492}"/>
              </c:ext>
            </c:extLst>
          </c:dPt>
          <c:cat>
            <c:strRef>
              <c:f>calc!$J$28:$J$35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calc!$M$28:$M$35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0.41031955317138646</c:v>
                </c:pt>
                <c:pt idx="5">
                  <c:v>0</c:v>
                </c:pt>
                <c:pt idx="6">
                  <c:v>0.33982314292612859</c:v>
                </c:pt>
                <c:pt idx="7">
                  <c:v>0.24985730390248501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51B-4CB5-B748-CECE1403D49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B51B-4CB5-B748-CECE1403D492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B51B-4CB5-B748-CECE1403D49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B51B-4CB5-B748-CECE1403D49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B51B-4CB5-B748-CECE1403D4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B51B-4CB5-B748-CECE1403D492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C-B51B-4CB5-B748-CECE1403D492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B51B-4CB5-B748-CECE1403D4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B51B-4CB5-B748-CECE1403D492}"/>
              </c:ext>
            </c:extLst>
          </c:dPt>
          <c:cat>
            <c:strRef>
              <c:f>calc!$J$28:$J$35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calc!$N$28:$N$35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0.58968044682861354</c:v>
                </c:pt>
                <c:pt idx="5">
                  <c:v>1</c:v>
                </c:pt>
                <c:pt idx="6">
                  <c:v>0.66017685707387141</c:v>
                </c:pt>
                <c:pt idx="7">
                  <c:v>0.75014269609751505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51B-4CB5-B748-CECE1403D492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calc!$J$28:$J$35</c:f>
              <c:strCache>
                <c:ptCount val="8"/>
                <c:pt idx="0">
                  <c:v>آشپزخانه(دفتر مرکزی)</c:v>
                </c:pt>
                <c:pt idx="1">
                  <c:v>تدارکات(دفتر مرکزی)</c:v>
                </c:pt>
                <c:pt idx="2">
                  <c:v>بازرگانی(دفتر مرکزی)</c:v>
                </c:pt>
                <c:pt idx="3">
                  <c:v>فنی(دفتر مرکزی)</c:v>
                </c:pt>
                <c:pt idx="4">
                  <c:v>مدیریت عامل(دفتر مرکزی)</c:v>
                </c:pt>
                <c:pt idx="5">
                  <c:v>هیئت مدیره(دفترمرکزی)</c:v>
                </c:pt>
                <c:pt idx="6">
                  <c:v>مالی (دفتر مرکزی)</c:v>
                </c:pt>
                <c:pt idx="7">
                  <c:v>اداری (دفتر مرکزی)</c:v>
                </c:pt>
              </c:strCache>
            </c:strRef>
          </c:cat>
          <c:val>
            <c:numRef>
              <c:f>calc!$O$28:$O$35</c:f>
              <c:numCache>
                <c:formatCode>0%</c:formatCode>
                <c:ptCount val="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51B-4CB5-B748-CECE1403D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60"/>
        <c:shape val="cylinder"/>
        <c:axId val="613659600"/>
        <c:axId val="440049360"/>
        <c:axId val="0"/>
      </c:bar3DChart>
      <c:catAx>
        <c:axId val="6136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40049360"/>
        <c:crosses val="autoZero"/>
        <c:auto val="1"/>
        <c:lblAlgn val="ctr"/>
        <c:lblOffset val="100"/>
        <c:noMultiLvlLbl val="0"/>
      </c:catAx>
      <c:valAx>
        <c:axId val="440049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1365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listbox!$D$2" fmlaRange="listbox!$C$2:$C$13" noThreeD="1" sel="8" val="4"/>
</file>

<file path=xl/ctrlProps/ctrlProp2.xml><?xml version="1.0" encoding="utf-8"?>
<formControlPr xmlns="http://schemas.microsoft.com/office/spreadsheetml/2009/9/main" objectType="Drop" dropStyle="combo" dx="22" fmlaLink="listbox!$B$2" fmlaRange="listbox!$A$2:$A$13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3.png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95248</xdr:colOff>
      <xdr:row>52</xdr:row>
      <xdr:rowOff>186787</xdr:rowOff>
    </xdr:from>
    <xdr:to>
      <xdr:col>18</xdr:col>
      <xdr:colOff>0</xdr:colOff>
      <xdr:row>62</xdr:row>
      <xdr:rowOff>173182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72</xdr:row>
      <xdr:rowOff>290699</xdr:rowOff>
    </xdr:from>
    <xdr:to>
      <xdr:col>23</xdr:col>
      <xdr:colOff>561603</xdr:colOff>
      <xdr:row>82</xdr:row>
      <xdr:rowOff>169471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9</xdr:col>
      <xdr:colOff>733424</xdr:colOff>
      <xdr:row>3</xdr:row>
      <xdr:rowOff>76200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477778576" y="85725"/>
          <a:ext cx="6791324" cy="847725"/>
        </a:xfrm>
        <a:prstGeom prst="roundRect">
          <a:avLst/>
        </a:prstGeom>
        <a:gradFill flip="none" rotWithShape="1">
          <a:gsLst>
            <a:gs pos="83000">
              <a:srgbClr val="46AAC2"/>
            </a:gs>
            <a:gs pos="100000">
              <a:srgbClr val="46AAC2"/>
            </a:gs>
            <a:gs pos="22000">
              <a:schemeClr val="bg1"/>
            </a:gs>
            <a:gs pos="100000">
              <a:srgbClr val="2D82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1</xdr:col>
      <xdr:colOff>142875</xdr:colOff>
      <xdr:row>0</xdr:row>
      <xdr:rowOff>171450</xdr:rowOff>
    </xdr:from>
    <xdr:to>
      <xdr:col>6</xdr:col>
      <xdr:colOff>228600</xdr:colOff>
      <xdr:row>2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480569400" y="171450"/>
          <a:ext cx="38957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fa-IR" sz="20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t>داشبـورد</a:t>
          </a:r>
          <a:r>
            <a:rPr lang="fa-IR" sz="2000" baseline="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t> آنالیـز حقـوق و دستمـزد</a:t>
          </a:r>
          <a:endParaRPr lang="fa-IR" sz="200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B titr"/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8</xdr:col>
      <xdr:colOff>0</xdr:colOff>
      <xdr:row>0</xdr:row>
      <xdr:rowOff>168276</xdr:rowOff>
    </xdr:from>
    <xdr:to>
      <xdr:col>9</xdr:col>
      <xdr:colOff>603250</xdr:colOff>
      <xdr:row>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477908750" y="168276"/>
          <a:ext cx="1365250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</xdr:row>
      <xdr:rowOff>85222</xdr:rowOff>
    </xdr:from>
    <xdr:to>
      <xdr:col>9</xdr:col>
      <xdr:colOff>714375</xdr:colOff>
      <xdr:row>36</xdr:row>
      <xdr:rowOff>238126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12477035625" y="942472"/>
          <a:ext cx="6791325" cy="9582654"/>
          <a:chOff x="12477797625" y="946497"/>
          <a:chExt cx="6791325" cy="9626925"/>
        </a:xfrm>
      </xdr:grpSpPr>
      <xdr:sp macro="" textlink="">
        <xdr:nvSpPr>
          <xdr:cNvPr id="9" name="Isosceles Triangl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2479631187" y="952766"/>
            <a:ext cx="78960" cy="70434"/>
          </a:xfrm>
          <a:prstGeom prst="triangle">
            <a:avLst/>
          </a:prstGeom>
          <a:solidFill>
            <a:srgbClr val="3DA1B9"/>
          </a:solidFill>
          <a:ln>
            <a:solidFill>
              <a:srgbClr val="3DA1B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xdr:sp macro="" textlink="">
        <xdr:nvSpPr>
          <xdr:cNvPr id="8" name="Isosceles Triangle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12483093525" y="952766"/>
            <a:ext cx="78960" cy="70434"/>
          </a:xfrm>
          <a:prstGeom prst="triangle">
            <a:avLst/>
          </a:prstGeom>
          <a:solidFill>
            <a:srgbClr val="3DA1B9"/>
          </a:solidFill>
          <a:ln>
            <a:solidFill>
              <a:srgbClr val="3DA1B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12477797625" y="985101"/>
            <a:ext cx="6791325" cy="9588321"/>
          </a:xfrm>
          <a:prstGeom prst="roundRect">
            <a:avLst>
              <a:gd name="adj" fmla="val 2221"/>
            </a:avLst>
          </a:prstGeom>
          <a:solidFill>
            <a:schemeClr val="bg1"/>
          </a:solidFill>
          <a:ln w="6350">
            <a:solidFill>
              <a:srgbClr val="46AAC2"/>
            </a:solidFill>
          </a:ln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xdr:sp macro="" textlink="">
        <xdr:nvSpPr>
          <xdr:cNvPr id="7" name="Trapezoid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10800000">
            <a:off x="12479678061" y="946497"/>
            <a:ext cx="3448050" cy="287093"/>
          </a:xfrm>
          <a:prstGeom prst="trapezoid">
            <a:avLst/>
          </a:prstGeom>
          <a:solidFill>
            <a:srgbClr val="46AAC2"/>
          </a:solidFill>
          <a:ln>
            <a:solidFill>
              <a:srgbClr val="46AA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</xdr:grpSp>
    <xdr:clientData/>
  </xdr:twoCellAnchor>
  <xdr:twoCellAnchor>
    <xdr:from>
      <xdr:col>3</xdr:col>
      <xdr:colOff>285750</xdr:colOff>
      <xdr:row>3</xdr:row>
      <xdr:rowOff>65943</xdr:rowOff>
    </xdr:from>
    <xdr:to>
      <xdr:col>7</xdr:col>
      <xdr:colOff>293077</xdr:colOff>
      <xdr:row>4</xdr:row>
      <xdr:rowOff>80596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2479742923" y="923193"/>
          <a:ext cx="3055327" cy="300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fa-IR" sz="1400" baseline="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t>آنالیـز حقـوق و دستمـزد ناخالص آذر</a:t>
          </a:r>
          <a:endParaRPr lang="fa-IR" sz="140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B titr"/>
            <a:cs typeface="B Titr" panose="00000700000000000000" pitchFamily="2" charset="-78"/>
          </a:endParaRPr>
        </a:p>
      </xdr:txBody>
    </xdr:sp>
    <xdr:clientData/>
  </xdr:twoCellAnchor>
  <xdr:twoCellAnchor>
    <xdr:from>
      <xdr:col>4</xdr:col>
      <xdr:colOff>368716</xdr:colOff>
      <xdr:row>7</xdr:row>
      <xdr:rowOff>100853</xdr:rowOff>
    </xdr:from>
    <xdr:to>
      <xdr:col>10</xdr:col>
      <xdr:colOff>168088</xdr:colOff>
      <xdr:row>16</xdr:row>
      <xdr:rowOff>173505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449036</xdr:colOff>
      <xdr:row>4</xdr:row>
      <xdr:rowOff>190500</xdr:rowOff>
    </xdr:from>
    <xdr:to>
      <xdr:col>5</xdr:col>
      <xdr:colOff>520947</xdr:colOff>
      <xdr:row>7</xdr:row>
      <xdr:rowOff>145081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12480277053" y="1333500"/>
          <a:ext cx="833911" cy="811831"/>
          <a:chOff x="12481134421" y="917437"/>
          <a:chExt cx="833911" cy="837231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282" t="52818" r="8769" b="16561"/>
          <a:stretch/>
        </xdr:blipFill>
        <xdr:spPr>
          <a:xfrm>
            <a:off x="12481134421" y="1532177"/>
            <a:ext cx="246674" cy="222491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282" t="52818" r="8769" b="16561"/>
          <a:stretch/>
        </xdr:blipFill>
        <xdr:spPr>
          <a:xfrm flipH="1">
            <a:off x="12481648771" y="1532177"/>
            <a:ext cx="246674" cy="222491"/>
          </a:xfrm>
          <a:prstGeom prst="rect">
            <a:avLst/>
          </a:prstGeom>
        </xdr:spPr>
      </xdr:pic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12481509200" y="1225550"/>
            <a:ext cx="0" cy="457200"/>
          </a:xfrm>
          <a:prstGeom prst="line">
            <a:avLst/>
          </a:prstGeom>
          <a:ln w="57150">
            <a:solidFill>
              <a:srgbClr val="FBB40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12481382200" y="1663700"/>
            <a:ext cx="266700" cy="0"/>
          </a:xfrm>
          <a:prstGeom prst="line">
            <a:avLst/>
          </a:prstGeom>
          <a:ln w="57150">
            <a:solidFill>
              <a:srgbClr val="FBB40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81178532" y="917437"/>
            <a:ext cx="789800" cy="57785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571500</xdr:colOff>
      <xdr:row>18</xdr:row>
      <xdr:rowOff>215069</xdr:rowOff>
    </xdr:from>
    <xdr:to>
      <xdr:col>4</xdr:col>
      <xdr:colOff>570322</xdr:colOff>
      <xdr:row>26</xdr:row>
      <xdr:rowOff>67236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732864</xdr:colOff>
      <xdr:row>17</xdr:row>
      <xdr:rowOff>219316</xdr:rowOff>
    </xdr:from>
    <xdr:to>
      <xdr:col>10</xdr:col>
      <xdr:colOff>369411</xdr:colOff>
      <xdr:row>27</xdr:row>
      <xdr:rowOff>37674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3</xdr:col>
      <xdr:colOff>279662</xdr:colOff>
      <xdr:row>19</xdr:row>
      <xdr:rowOff>275027</xdr:rowOff>
    </xdr:from>
    <xdr:ext cx="358431" cy="1485900"/>
    <xdr:sp macro="" textlink="calc!F41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/>
        </xdr:cNvSpPr>
      </xdr:nvSpPr>
      <xdr:spPr>
        <a:xfrm rot="16200000">
          <a:off x="12481120173" y="6374467"/>
          <a:ext cx="1485900" cy="358431"/>
        </a:xfrm>
        <a:prstGeom prst="rect">
          <a:avLst/>
        </a:prstGeom>
        <a:noFill/>
        <a:ln w="9525" cmpd="sng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>
          <a:noAutofit/>
        </a:bodyPr>
        <a:lstStyle/>
        <a:p>
          <a:pPr algn="ctr" rtl="1"/>
          <a:fld id="{8895F093-49CD-4EBD-88E0-FEB25369D9B1}" type="TxLink">
            <a:rPr lang="en-US" sz="1400" b="0" i="0" u="none" strike="noStrike">
              <a:solidFill>
                <a:srgbClr val="2D82AD"/>
              </a:solidFill>
              <a:latin typeface="DokChampa" panose="020B0604020202020204" pitchFamily="34" charset="-34"/>
              <a:cs typeface="DokChampa" panose="020B0604020202020204" pitchFamily="34" charset="-34"/>
            </a:rPr>
            <a:pPr algn="ctr" rtl="1"/>
            <a:t>1,400,561,794</a:t>
          </a:fld>
          <a:endParaRPr lang="fa-IR" sz="1100">
            <a:solidFill>
              <a:srgbClr val="2D82AD"/>
            </a:solidFill>
            <a:latin typeface="DokChampa" panose="020B0604020202020204" pitchFamily="34" charset="-34"/>
            <a:cs typeface="B Nazanin" panose="00000400000000000000" pitchFamily="2" charset="-78"/>
          </a:endParaRPr>
        </a:p>
      </xdr:txBody>
    </xdr:sp>
    <xdr:clientData/>
  </xdr:oneCellAnchor>
  <xdr:oneCellAnchor>
    <xdr:from>
      <xdr:col>8</xdr:col>
      <xdr:colOff>198982</xdr:colOff>
      <xdr:row>20</xdr:row>
      <xdr:rowOff>62114</xdr:rowOff>
    </xdr:from>
    <xdr:ext cx="358431" cy="1485900"/>
    <xdr:sp macro="" textlink="calc!F42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/>
        </xdr:cNvSpPr>
      </xdr:nvSpPr>
      <xdr:spPr>
        <a:xfrm rot="16200000">
          <a:off x="12477390853" y="6452907"/>
          <a:ext cx="1485900" cy="358431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>
          <a:noAutofit/>
        </a:bodyPr>
        <a:lstStyle/>
        <a:p>
          <a:pPr algn="ctr" rtl="1"/>
          <a:fld id="{B62EB066-35F0-41B4-873F-2FDD948D2C55}" type="TxLink">
            <a:rPr lang="en-US" sz="1400" b="0" i="0" u="none" strike="noStrike">
              <a:solidFill>
                <a:srgbClr val="2D82AD"/>
              </a:solidFill>
              <a:latin typeface="DokChampa" panose="020B0604020202020204" pitchFamily="34" charset="-34"/>
              <a:cs typeface="B Nazanin"/>
            </a:rPr>
            <a:pPr algn="ctr" rtl="1"/>
            <a:t>359,403,662</a:t>
          </a:fld>
          <a:endParaRPr lang="fa-IR" sz="1100">
            <a:solidFill>
              <a:srgbClr val="2D82AD"/>
            </a:solidFill>
            <a:latin typeface="DokChampa" panose="020B0604020202020204" pitchFamily="34" charset="-34"/>
            <a:cs typeface="B Nazanin" panose="00000400000000000000" pitchFamily="2" charset="-78"/>
          </a:endParaRPr>
        </a:p>
      </xdr:txBody>
    </xdr:sp>
    <xdr:clientData/>
  </xdr:oneCellAnchor>
  <xdr:twoCellAnchor>
    <xdr:from>
      <xdr:col>2</xdr:col>
      <xdr:colOff>727262</xdr:colOff>
      <xdr:row>22</xdr:row>
      <xdr:rowOff>229720</xdr:rowOff>
    </xdr:from>
    <xdr:to>
      <xdr:col>3</xdr:col>
      <xdr:colOff>79562</xdr:colOff>
      <xdr:row>23</xdr:row>
      <xdr:rowOff>78067</xdr:rowOff>
    </xdr:to>
    <xdr:sp macro="" textlink="">
      <xdr:nvSpPr>
        <xdr:cNvPr id="23" name="Arrow: Chevron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 flipH="1">
          <a:off x="12482242438" y="6639485"/>
          <a:ext cx="114300" cy="139700"/>
        </a:xfrm>
        <a:prstGeom prst="chevron">
          <a:avLst>
            <a:gd name="adj" fmla="val 39499"/>
          </a:avLst>
        </a:prstGeom>
        <a:solidFill>
          <a:srgbClr val="FBB403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89086</xdr:colOff>
      <xdr:row>22</xdr:row>
      <xdr:rowOff>191620</xdr:rowOff>
    </xdr:from>
    <xdr:to>
      <xdr:col>8</xdr:col>
      <xdr:colOff>203386</xdr:colOff>
      <xdr:row>23</xdr:row>
      <xdr:rowOff>39967</xdr:rowOff>
    </xdr:to>
    <xdr:sp macro="" textlink="">
      <xdr:nvSpPr>
        <xdr:cNvPr id="25" name="Arrow: Chevron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2478308614" y="6601385"/>
          <a:ext cx="114300" cy="139700"/>
        </a:xfrm>
        <a:prstGeom prst="chevron">
          <a:avLst>
            <a:gd name="adj" fmla="val 39499"/>
          </a:avLst>
        </a:prstGeom>
        <a:solidFill>
          <a:srgbClr val="FBB403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259416</xdr:colOff>
      <xdr:row>3</xdr:row>
      <xdr:rowOff>137275</xdr:rowOff>
    </xdr:from>
    <xdr:to>
      <xdr:col>12</xdr:col>
      <xdr:colOff>287991</xdr:colOff>
      <xdr:row>5</xdr:row>
      <xdr:rowOff>238129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12475176009" y="994525"/>
          <a:ext cx="1552575" cy="672354"/>
          <a:chOff x="12472520775" y="1638300"/>
          <a:chExt cx="1552575" cy="666750"/>
        </a:xfrm>
      </xdr:grpSpPr>
      <xdr:grpSp>
        <xdr:nvGrpSpPr>
          <xdr:cNvPr id="29" name="Group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GrpSpPr/>
        </xdr:nvGrpSpPr>
        <xdr:grpSpPr>
          <a:xfrm>
            <a:off x="12472520775" y="1638300"/>
            <a:ext cx="1552575" cy="666750"/>
            <a:chOff x="12470872950" y="781050"/>
            <a:chExt cx="1552575" cy="666750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054" name="Drop Down 6" hidden="1">
                  <a:extLst>
                    <a:ext uri="{63B3BB69-23CF-44E3-9099-C40C66FF867C}">
                      <a14:compatExt spid="_x0000_s2054"/>
                    </a:ext>
                    <a:ext uri="{FF2B5EF4-FFF2-40B4-BE49-F238E27FC236}">
                      <a16:creationId xmlns:a16="http://schemas.microsoft.com/office/drawing/2014/main" id="{00000000-0008-0000-0300-000006080000}"/>
                    </a:ext>
                  </a:extLst>
                </xdr:cNvPr>
                <xdr:cNvSpPr/>
              </xdr:nvSpPr>
              <xdr:spPr bwMode="auto">
                <a:xfrm>
                  <a:off x="12470872950" y="1142999"/>
                  <a:ext cx="1552575" cy="3048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 txBox="1"/>
          </xdr:nvSpPr>
          <xdr:spPr>
            <a:xfrm>
              <a:off x="12470882475" y="781050"/>
              <a:ext cx="1514475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fa-IR" sz="1800" b="1">
                  <a:cs typeface="B Nazanin" panose="00000400000000000000" pitchFamily="2" charset="-78"/>
                </a:rPr>
                <a:t>انتخاب</a:t>
              </a:r>
              <a:r>
                <a:rPr lang="fa-IR" sz="1800" b="1" baseline="0">
                  <a:cs typeface="B Nazanin" panose="00000400000000000000" pitchFamily="2" charset="-78"/>
                </a:rPr>
                <a:t> سال</a:t>
              </a:r>
              <a:endParaRPr lang="fa-IR" sz="1800" b="1">
                <a:cs typeface="B Nazanin" panose="00000400000000000000" pitchFamily="2" charset="-78"/>
              </a:endParaRPr>
            </a:p>
          </xdr:txBody>
        </xdr:sp>
      </xdr:grpSp>
      <xdr:pic>
        <xdr:nvPicPr>
          <xdr:cNvPr id="33" name="Picture 32" descr="Year icon PNG and SVG Vector Free Download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2644601" y="1657351"/>
            <a:ext cx="276224" cy="2762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266140</xdr:colOff>
      <xdr:row>6</xdr:row>
      <xdr:rowOff>66679</xdr:rowOff>
    </xdr:from>
    <xdr:to>
      <xdr:col>12</xdr:col>
      <xdr:colOff>294715</xdr:colOff>
      <xdr:row>8</xdr:row>
      <xdr:rowOff>177056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pSpPr/>
      </xdr:nvGrpSpPr>
      <xdr:grpSpPr>
        <a:xfrm>
          <a:off x="12475169285" y="1781179"/>
          <a:ext cx="1552575" cy="681877"/>
          <a:chOff x="12472568400" y="2428876"/>
          <a:chExt cx="1552575" cy="676273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GrpSpPr/>
        </xdr:nvGrpSpPr>
        <xdr:grpSpPr>
          <a:xfrm>
            <a:off x="12472568400" y="2438400"/>
            <a:ext cx="1552575" cy="666749"/>
            <a:chOff x="12470872950" y="781050"/>
            <a:chExt cx="1552575" cy="666749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053" name="Drop Down 5" hidden="1">
                  <a:extLst>
                    <a:ext uri="{63B3BB69-23CF-44E3-9099-C40C66FF867C}">
                      <a14:compatExt spid="_x0000_s2053"/>
                    </a:ext>
                    <a:ext uri="{FF2B5EF4-FFF2-40B4-BE49-F238E27FC236}">
                      <a16:creationId xmlns:a16="http://schemas.microsoft.com/office/drawing/2014/main" id="{00000000-0008-0000-0300-000005080000}"/>
                    </a:ext>
                  </a:extLst>
                </xdr:cNvPr>
                <xdr:cNvSpPr/>
              </xdr:nvSpPr>
              <xdr:spPr bwMode="auto">
                <a:xfrm>
                  <a:off x="12470872950" y="1142999"/>
                  <a:ext cx="1552575" cy="3048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2470882475" y="781050"/>
              <a:ext cx="1514475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fa-IR" sz="1800" b="1">
                  <a:cs typeface="B Nazanin" panose="00000400000000000000" pitchFamily="2" charset="-78"/>
                </a:rPr>
                <a:t>انتخاب</a:t>
              </a:r>
              <a:r>
                <a:rPr lang="fa-IR" sz="1800" b="1" baseline="0">
                  <a:cs typeface="B Nazanin" panose="00000400000000000000" pitchFamily="2" charset="-78"/>
                </a:rPr>
                <a:t> ماه</a:t>
              </a:r>
              <a:endParaRPr lang="fa-IR" sz="1800" b="1">
                <a:cs typeface="B Nazanin" panose="00000400000000000000" pitchFamily="2" charset="-78"/>
              </a:endParaRPr>
            </a:p>
          </xdr:txBody>
        </xdr:sp>
      </xdr:grpSp>
      <xdr:pic>
        <xdr:nvPicPr>
          <xdr:cNvPr id="35" name="Picture 34" descr="Month icon PNG and SVG Vector Free Download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2711276" y="2428876"/>
            <a:ext cx="314324" cy="3143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7</xdr:row>
      <xdr:rowOff>112058</xdr:rowOff>
    </xdr:from>
    <xdr:to>
      <xdr:col>4</xdr:col>
      <xdr:colOff>302558</xdr:colOff>
      <xdr:row>17</xdr:row>
      <xdr:rowOff>116701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20" totalsRowCount="1" headerRowDxfId="46" dataDxfId="44" headerRowBorderDxfId="45" tableBorderDxfId="43" totalsRowBorderDxfId="42">
  <autoFilter ref="A1:U19" xr:uid="{00000000-0009-0000-0100-000001000000}"/>
  <tableColumns count="21">
    <tableColumn id="12" xr3:uid="{A6C014D8-B9F1-49AA-BFB5-F73880C1B291}" name="سال" totalsRowLabel="جمع" dataDxfId="41" totalsRowDxfId="20"/>
    <tableColumn id="1" xr3:uid="{00000000-0010-0000-0000-000001000000}" name="ماه" dataDxfId="40" totalsRowDxfId="19"/>
    <tableColumn id="2" xr3:uid="{00000000-0010-0000-0000-000002000000}" name="کد پرسنلی" totalsRowFunction="count" dataDxfId="39" totalsRowDxfId="18"/>
    <tableColumn id="3" xr3:uid="{00000000-0010-0000-0000-000003000000}" name="نام و نام خانوادگی" dataDxfId="38" totalsRowDxfId="17" dataCellStyle="Normal 2"/>
    <tableColumn id="4" xr3:uid="{00000000-0010-0000-0000-000004000000}" name="محل خدمت" dataDxfId="37" totalsRowDxfId="16"/>
    <tableColumn id="5" xr3:uid="{00000000-0010-0000-0000-000005000000}" name="واحد عملیاتی" dataDxfId="36" totalsRowDxfId="15"/>
    <tableColumn id="6" xr3:uid="{00000000-0010-0000-0000-000006000000}" name="واحد شغلی" dataDxfId="35" totalsRowDxfId="14"/>
    <tableColumn id="7" xr3:uid="{00000000-0010-0000-0000-000007000000}" name="سمت شغلی" dataDxfId="34" totalsRowDxfId="13"/>
    <tableColumn id="8" xr3:uid="{00000000-0010-0000-0000-000008000000}" name="مرکز هزینه" dataDxfId="33" totalsRowDxfId="12"/>
    <tableColumn id="18" xr3:uid="{00000000-0010-0000-0000-000012000000}" name="کارکرد_x000a_(ساعت)" totalsRowFunction="sum" dataDxfId="32" totalsRowDxfId="11"/>
    <tableColumn id="9" xr3:uid="{00000000-0010-0000-0000-000009000000}" name="اضافه کاری_x000a_(ساعت)" totalsRowFunction="sum" dataDxfId="31" totalsRowDxfId="10"/>
    <tableColumn id="10" xr3:uid="{00000000-0010-0000-0000-00000A000000}" name="مبلغ_x000a_اضافه کاری" totalsRowFunction="sum" dataDxfId="30" totalsRowDxfId="9" dataCellStyle="Comma"/>
    <tableColumn id="14" xr3:uid="{00000000-0010-0000-0000-00000E000000}" name="جمعه کاری_x000a_(ساعت)" totalsRowFunction="sum" dataDxfId="29" totalsRowDxfId="8" dataCellStyle="Comma"/>
    <tableColumn id="15" xr3:uid="{00000000-0010-0000-0000-00000F000000}" name="مبلغ_x000a_جمعه کاری" totalsRowFunction="sum" dataDxfId="28" totalsRowDxfId="7" dataCellStyle="Comma"/>
    <tableColumn id="16" xr3:uid="{00000000-0010-0000-0000-000010000000}" name="شب کاری_x000a_(ساعت)" totalsRowFunction="sum" dataDxfId="27" totalsRowDxfId="6" dataCellStyle="Comma"/>
    <tableColumn id="17" xr3:uid="{00000000-0010-0000-0000-000011000000}" name="مبلغ_x000a_شب کاری" totalsRowFunction="sum" dataDxfId="26" totalsRowDxfId="5" dataCellStyle="Comma"/>
    <tableColumn id="11" xr3:uid="{00000000-0010-0000-0000-00000B000000}" name="مبلغ_x000a_حق ماموریت" totalsRowFunction="sum" dataDxfId="25" totalsRowDxfId="4" dataCellStyle="Comma"/>
    <tableColumn id="20" xr3:uid="{00000000-0010-0000-0000-000014000000}" name="جمع_x000a_حقوق و مزایا" totalsRowFunction="sum" dataDxfId="24" totalsRowDxfId="3" dataCellStyle="Comma"/>
    <tableColumn id="21" xr3:uid="{00000000-0010-0000-0000-000015000000}" name="مالیات" totalsRowFunction="sum" dataDxfId="23" totalsRowDxfId="2" dataCellStyle="Comma"/>
    <tableColumn id="22" xr3:uid="{00000000-0010-0000-0000-000016000000}" name="بیمه" totalsRowFunction="sum" dataDxfId="22" totalsRowDxfId="1" dataCellStyle="Comma"/>
    <tableColumn id="13" xr3:uid="{00000000-0010-0000-0000-00000D000000}" name="حقوق پرداختنی_x000a_(خالص)" totalsRowFunction="sum" dataDxfId="21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rightToLeft="1" workbookViewId="0">
      <selection activeCell="I13" sqref="I13"/>
    </sheetView>
  </sheetViews>
  <sheetFormatPr defaultRowHeight="22.5" x14ac:dyDescent="0.55000000000000004"/>
  <cols>
    <col min="1" max="1" width="8.88671875" style="3"/>
    <col min="2" max="2" width="7.77734375" style="3" customWidth="1"/>
    <col min="3" max="3" width="7.44140625" style="3" bestFit="1" customWidth="1"/>
    <col min="4" max="4" width="7.44140625" style="3" customWidth="1"/>
    <col min="5" max="5" width="9.6640625" style="6" bestFit="1" customWidth="1"/>
    <col min="6" max="6" width="16.21875" style="6" bestFit="1" customWidth="1"/>
    <col min="7" max="7" width="23.88671875" style="6" bestFit="1" customWidth="1"/>
    <col min="8" max="8" width="24.44140625" style="6" bestFit="1" customWidth="1"/>
    <col min="9" max="9" width="38.88671875" style="50" bestFit="1" customWidth="1"/>
    <col min="10" max="16384" width="8.88671875" style="3"/>
  </cols>
  <sheetData>
    <row r="1" spans="1:9" ht="24" x14ac:dyDescent="0.55000000000000004">
      <c r="A1" s="2" t="s">
        <v>198</v>
      </c>
      <c r="B1" s="2" t="s">
        <v>199</v>
      </c>
      <c r="C1" s="2" t="s">
        <v>97</v>
      </c>
      <c r="D1" s="2" t="s">
        <v>199</v>
      </c>
      <c r="E1" s="5" t="s">
        <v>95</v>
      </c>
      <c r="F1" s="5" t="s">
        <v>2</v>
      </c>
      <c r="G1" s="5" t="s">
        <v>93</v>
      </c>
      <c r="H1" s="5" t="s">
        <v>94</v>
      </c>
      <c r="I1" s="49" t="s">
        <v>96</v>
      </c>
    </row>
    <row r="2" spans="1:9" x14ac:dyDescent="0.55000000000000004">
      <c r="A2" s="3">
        <v>1401</v>
      </c>
      <c r="B2" s="3">
        <v>1</v>
      </c>
      <c r="C2" s="4" t="s">
        <v>103</v>
      </c>
      <c r="D2" s="4">
        <v>8</v>
      </c>
      <c r="E2" s="6" t="s">
        <v>3</v>
      </c>
      <c r="F2" s="6" t="s">
        <v>0</v>
      </c>
      <c r="G2" s="6" t="s">
        <v>5</v>
      </c>
      <c r="H2" s="6" t="s">
        <v>20</v>
      </c>
      <c r="I2" s="47" t="s">
        <v>170</v>
      </c>
    </row>
    <row r="3" spans="1:9" x14ac:dyDescent="0.55000000000000004">
      <c r="A3" s="3">
        <v>1402</v>
      </c>
      <c r="B3" s="3">
        <f>INDEX(A2:A13,B2)</f>
        <v>1401</v>
      </c>
      <c r="C3" s="4" t="s">
        <v>104</v>
      </c>
      <c r="D3" s="4" t="str">
        <f>INDEX(C2:C13,D2)</f>
        <v>آبان</v>
      </c>
      <c r="E3" s="6" t="s">
        <v>4</v>
      </c>
      <c r="F3" s="6" t="s">
        <v>1</v>
      </c>
      <c r="G3" s="6" t="s">
        <v>6</v>
      </c>
      <c r="H3" s="6" t="s">
        <v>21</v>
      </c>
      <c r="I3" s="47" t="s">
        <v>171</v>
      </c>
    </row>
    <row r="4" spans="1:9" x14ac:dyDescent="0.55000000000000004">
      <c r="A4" s="3">
        <v>1403</v>
      </c>
      <c r="C4" s="4" t="s">
        <v>105</v>
      </c>
      <c r="D4" s="4"/>
      <c r="F4" s="6" t="s">
        <v>2</v>
      </c>
      <c r="G4" s="6" t="s">
        <v>7</v>
      </c>
      <c r="H4" s="6" t="s">
        <v>22</v>
      </c>
      <c r="I4" s="47" t="s">
        <v>186</v>
      </c>
    </row>
    <row r="5" spans="1:9" x14ac:dyDescent="0.55000000000000004">
      <c r="A5" s="3">
        <v>1404</v>
      </c>
      <c r="C5" s="4" t="s">
        <v>106</v>
      </c>
      <c r="D5" s="4"/>
      <c r="G5" s="6" t="s">
        <v>8</v>
      </c>
      <c r="H5" s="6" t="s">
        <v>23</v>
      </c>
      <c r="I5" s="47" t="s">
        <v>167</v>
      </c>
    </row>
    <row r="6" spans="1:9" x14ac:dyDescent="0.55000000000000004">
      <c r="A6" s="3">
        <v>1405</v>
      </c>
      <c r="C6" s="4" t="s">
        <v>107</v>
      </c>
      <c r="D6" s="4"/>
      <c r="G6" s="6" t="s">
        <v>9</v>
      </c>
      <c r="H6" s="6" t="s">
        <v>24</v>
      </c>
      <c r="I6" s="47" t="s">
        <v>172</v>
      </c>
    </row>
    <row r="7" spans="1:9" x14ac:dyDescent="0.55000000000000004">
      <c r="A7" s="3">
        <v>1406</v>
      </c>
      <c r="C7" s="4" t="s">
        <v>108</v>
      </c>
      <c r="D7" s="4"/>
      <c r="G7" s="6" t="s">
        <v>10</v>
      </c>
      <c r="H7" s="6" t="s">
        <v>25</v>
      </c>
      <c r="I7" s="47" t="s">
        <v>173</v>
      </c>
    </row>
    <row r="8" spans="1:9" x14ac:dyDescent="0.55000000000000004">
      <c r="A8" s="3">
        <v>1407</v>
      </c>
      <c r="C8" s="4" t="s">
        <v>101</v>
      </c>
      <c r="D8" s="4"/>
      <c r="G8" s="6" t="s">
        <v>11</v>
      </c>
      <c r="H8" s="6" t="s">
        <v>26</v>
      </c>
      <c r="I8" s="47" t="s">
        <v>174</v>
      </c>
    </row>
    <row r="9" spans="1:9" x14ac:dyDescent="0.55000000000000004">
      <c r="A9" s="3">
        <v>1408</v>
      </c>
      <c r="C9" s="4" t="s">
        <v>102</v>
      </c>
      <c r="D9" s="4"/>
      <c r="G9" s="6" t="s">
        <v>12</v>
      </c>
      <c r="H9" s="6" t="s">
        <v>27</v>
      </c>
      <c r="I9" s="47" t="s">
        <v>168</v>
      </c>
    </row>
    <row r="10" spans="1:9" x14ac:dyDescent="0.55000000000000004">
      <c r="A10" s="3">
        <v>1409</v>
      </c>
      <c r="C10" s="4" t="s">
        <v>109</v>
      </c>
      <c r="D10" s="4"/>
      <c r="G10" s="6" t="s">
        <v>13</v>
      </c>
      <c r="H10" s="6" t="s">
        <v>28</v>
      </c>
      <c r="I10" s="47" t="s">
        <v>175</v>
      </c>
    </row>
    <row r="11" spans="1:9" x14ac:dyDescent="0.55000000000000004">
      <c r="A11" s="3">
        <v>1410</v>
      </c>
      <c r="C11" s="4" t="s">
        <v>110</v>
      </c>
      <c r="D11" s="4"/>
      <c r="G11" s="6" t="s">
        <v>14</v>
      </c>
      <c r="H11" s="6" t="s">
        <v>29</v>
      </c>
      <c r="I11" s="47" t="s">
        <v>197</v>
      </c>
    </row>
    <row r="12" spans="1:9" x14ac:dyDescent="0.55000000000000004">
      <c r="A12" s="3">
        <v>1411</v>
      </c>
      <c r="C12" s="4" t="s">
        <v>111</v>
      </c>
      <c r="D12" s="4"/>
      <c r="G12" s="6" t="s">
        <v>15</v>
      </c>
      <c r="H12" s="6" t="s">
        <v>30</v>
      </c>
      <c r="I12" s="47" t="s">
        <v>201</v>
      </c>
    </row>
    <row r="13" spans="1:9" x14ac:dyDescent="0.55000000000000004">
      <c r="A13" s="3">
        <v>1412</v>
      </c>
      <c r="C13" s="4" t="s">
        <v>112</v>
      </c>
      <c r="D13" s="4"/>
      <c r="G13" s="6" t="s">
        <v>16</v>
      </c>
      <c r="H13" s="6" t="s">
        <v>31</v>
      </c>
      <c r="I13" s="47" t="s">
        <v>187</v>
      </c>
    </row>
    <row r="14" spans="1:9" x14ac:dyDescent="0.55000000000000004">
      <c r="G14" s="6" t="s">
        <v>17</v>
      </c>
      <c r="H14" s="6" t="s">
        <v>32</v>
      </c>
      <c r="I14" s="47" t="s">
        <v>177</v>
      </c>
    </row>
    <row r="15" spans="1:9" x14ac:dyDescent="0.55000000000000004">
      <c r="G15" s="6" t="s">
        <v>18</v>
      </c>
      <c r="H15" s="6" t="s">
        <v>33</v>
      </c>
      <c r="I15" s="47" t="s">
        <v>200</v>
      </c>
    </row>
    <row r="16" spans="1:9" x14ac:dyDescent="0.55000000000000004">
      <c r="G16" s="6" t="s">
        <v>19</v>
      </c>
      <c r="H16" s="6" t="s">
        <v>34</v>
      </c>
      <c r="I16" s="47" t="s">
        <v>179</v>
      </c>
    </row>
    <row r="17" spans="8:9" x14ac:dyDescent="0.55000000000000004">
      <c r="H17" s="6" t="s">
        <v>35</v>
      </c>
      <c r="I17" s="47" t="s">
        <v>180</v>
      </c>
    </row>
    <row r="18" spans="8:9" x14ac:dyDescent="0.55000000000000004">
      <c r="H18" s="6" t="s">
        <v>36</v>
      </c>
      <c r="I18" s="47" t="s">
        <v>181</v>
      </c>
    </row>
    <row r="19" spans="8:9" x14ac:dyDescent="0.55000000000000004">
      <c r="H19" s="6" t="s">
        <v>37</v>
      </c>
      <c r="I19" s="47" t="s">
        <v>182</v>
      </c>
    </row>
    <row r="20" spans="8:9" x14ac:dyDescent="0.55000000000000004">
      <c r="H20" s="6" t="s">
        <v>38</v>
      </c>
      <c r="I20" s="47" t="s">
        <v>183</v>
      </c>
    </row>
    <row r="21" spans="8:9" x14ac:dyDescent="0.55000000000000004">
      <c r="H21" s="6" t="s">
        <v>39</v>
      </c>
      <c r="I21" s="47" t="s">
        <v>184</v>
      </c>
    </row>
    <row r="22" spans="8:9" x14ac:dyDescent="0.55000000000000004">
      <c r="H22" s="6" t="s">
        <v>40</v>
      </c>
      <c r="I22" s="47" t="s">
        <v>185</v>
      </c>
    </row>
    <row r="23" spans="8:9" x14ac:dyDescent="0.55000000000000004">
      <c r="H23" s="6" t="s">
        <v>41</v>
      </c>
      <c r="I23" s="47" t="s">
        <v>188</v>
      </c>
    </row>
    <row r="24" spans="8:9" x14ac:dyDescent="0.55000000000000004">
      <c r="H24" s="6" t="s">
        <v>42</v>
      </c>
      <c r="I24" s="47" t="s">
        <v>189</v>
      </c>
    </row>
    <row r="25" spans="8:9" x14ac:dyDescent="0.55000000000000004">
      <c r="H25" s="6" t="s">
        <v>43</v>
      </c>
      <c r="I25" s="47" t="s">
        <v>190</v>
      </c>
    </row>
    <row r="26" spans="8:9" x14ac:dyDescent="0.55000000000000004">
      <c r="H26" s="6" t="s">
        <v>44</v>
      </c>
      <c r="I26" s="47" t="s">
        <v>191</v>
      </c>
    </row>
    <row r="27" spans="8:9" x14ac:dyDescent="0.55000000000000004">
      <c r="H27" s="6" t="s">
        <v>45</v>
      </c>
      <c r="I27" s="47" t="s">
        <v>192</v>
      </c>
    </row>
    <row r="28" spans="8:9" x14ac:dyDescent="0.55000000000000004">
      <c r="H28" s="6" t="s">
        <v>46</v>
      </c>
      <c r="I28" s="47" t="s">
        <v>193</v>
      </c>
    </row>
    <row r="29" spans="8:9" x14ac:dyDescent="0.55000000000000004">
      <c r="H29" s="6" t="s">
        <v>47</v>
      </c>
      <c r="I29" s="47" t="s">
        <v>196</v>
      </c>
    </row>
    <row r="30" spans="8:9" x14ac:dyDescent="0.55000000000000004">
      <c r="H30" s="6" t="s">
        <v>48</v>
      </c>
      <c r="I30" s="47" t="s">
        <v>194</v>
      </c>
    </row>
    <row r="31" spans="8:9" x14ac:dyDescent="0.55000000000000004">
      <c r="H31" s="6" t="s">
        <v>49</v>
      </c>
      <c r="I31" s="47" t="s">
        <v>195</v>
      </c>
    </row>
    <row r="32" spans="8:9" x14ac:dyDescent="0.55000000000000004">
      <c r="H32" s="6" t="s">
        <v>50</v>
      </c>
      <c r="I32" s="47" t="s">
        <v>169</v>
      </c>
    </row>
    <row r="33" spans="8:8" x14ac:dyDescent="0.55000000000000004">
      <c r="H33" s="6" t="s">
        <v>51</v>
      </c>
    </row>
    <row r="34" spans="8:8" x14ac:dyDescent="0.55000000000000004">
      <c r="H34" s="6" t="s">
        <v>52</v>
      </c>
    </row>
    <row r="35" spans="8:8" x14ac:dyDescent="0.55000000000000004">
      <c r="H35" s="6" t="s">
        <v>53</v>
      </c>
    </row>
    <row r="36" spans="8:8" x14ac:dyDescent="0.55000000000000004">
      <c r="H36" s="6" t="s">
        <v>54</v>
      </c>
    </row>
    <row r="37" spans="8:8" x14ac:dyDescent="0.55000000000000004">
      <c r="H37" s="6" t="s">
        <v>55</v>
      </c>
    </row>
    <row r="38" spans="8:8" x14ac:dyDescent="0.55000000000000004">
      <c r="H38" s="6" t="s">
        <v>56</v>
      </c>
    </row>
    <row r="39" spans="8:8" x14ac:dyDescent="0.55000000000000004">
      <c r="H39" s="6" t="s">
        <v>57</v>
      </c>
    </row>
    <row r="40" spans="8:8" x14ac:dyDescent="0.55000000000000004">
      <c r="H40" s="6" t="s">
        <v>58</v>
      </c>
    </row>
    <row r="41" spans="8:8" x14ac:dyDescent="0.55000000000000004">
      <c r="H41" s="6" t="s">
        <v>59</v>
      </c>
    </row>
    <row r="42" spans="8:8" x14ac:dyDescent="0.55000000000000004">
      <c r="H42" s="6" t="s">
        <v>60</v>
      </c>
    </row>
    <row r="43" spans="8:8" x14ac:dyDescent="0.55000000000000004">
      <c r="H43" s="6" t="s">
        <v>135</v>
      </c>
    </row>
    <row r="44" spans="8:8" x14ac:dyDescent="0.55000000000000004">
      <c r="H44" s="6" t="s">
        <v>61</v>
      </c>
    </row>
    <row r="45" spans="8:8" x14ac:dyDescent="0.55000000000000004">
      <c r="H45" s="6" t="s">
        <v>62</v>
      </c>
    </row>
    <row r="46" spans="8:8" x14ac:dyDescent="0.55000000000000004">
      <c r="H46" s="6" t="s">
        <v>63</v>
      </c>
    </row>
    <row r="47" spans="8:8" x14ac:dyDescent="0.55000000000000004">
      <c r="H47" s="6" t="s">
        <v>64</v>
      </c>
    </row>
    <row r="48" spans="8:8" x14ac:dyDescent="0.55000000000000004">
      <c r="H48" s="6" t="s">
        <v>65</v>
      </c>
    </row>
    <row r="49" spans="8:8" x14ac:dyDescent="0.55000000000000004">
      <c r="H49" s="6" t="s">
        <v>66</v>
      </c>
    </row>
    <row r="50" spans="8:8" x14ac:dyDescent="0.55000000000000004">
      <c r="H50" s="6" t="s">
        <v>67</v>
      </c>
    </row>
    <row r="51" spans="8:8" x14ac:dyDescent="0.55000000000000004">
      <c r="H51" s="6" t="s">
        <v>68</v>
      </c>
    </row>
    <row r="52" spans="8:8" x14ac:dyDescent="0.55000000000000004">
      <c r="H52" s="6" t="s">
        <v>69</v>
      </c>
    </row>
    <row r="53" spans="8:8" x14ac:dyDescent="0.55000000000000004">
      <c r="H53" s="6" t="s">
        <v>70</v>
      </c>
    </row>
    <row r="54" spans="8:8" x14ac:dyDescent="0.55000000000000004">
      <c r="H54" s="6" t="s">
        <v>71</v>
      </c>
    </row>
    <row r="55" spans="8:8" x14ac:dyDescent="0.55000000000000004">
      <c r="H55" s="6" t="s">
        <v>72</v>
      </c>
    </row>
    <row r="56" spans="8:8" x14ac:dyDescent="0.55000000000000004">
      <c r="H56" s="6" t="s">
        <v>73</v>
      </c>
    </row>
    <row r="57" spans="8:8" x14ac:dyDescent="0.55000000000000004">
      <c r="H57" s="6" t="s">
        <v>74</v>
      </c>
    </row>
    <row r="58" spans="8:8" x14ac:dyDescent="0.55000000000000004">
      <c r="H58" s="6" t="s">
        <v>75</v>
      </c>
    </row>
    <row r="59" spans="8:8" x14ac:dyDescent="0.55000000000000004">
      <c r="H59" s="6" t="s">
        <v>76</v>
      </c>
    </row>
    <row r="60" spans="8:8" x14ac:dyDescent="0.55000000000000004">
      <c r="H60" s="6" t="s">
        <v>77</v>
      </c>
    </row>
    <row r="61" spans="8:8" x14ac:dyDescent="0.55000000000000004">
      <c r="H61" s="6" t="s">
        <v>78</v>
      </c>
    </row>
    <row r="62" spans="8:8" x14ac:dyDescent="0.55000000000000004">
      <c r="H62" s="6" t="s">
        <v>79</v>
      </c>
    </row>
    <row r="63" spans="8:8" x14ac:dyDescent="0.55000000000000004">
      <c r="H63" s="6" t="s">
        <v>80</v>
      </c>
    </row>
    <row r="64" spans="8:8" x14ac:dyDescent="0.55000000000000004">
      <c r="H64" s="6" t="s">
        <v>81</v>
      </c>
    </row>
    <row r="65" spans="8:8" x14ac:dyDescent="0.55000000000000004">
      <c r="H65" s="6" t="s">
        <v>82</v>
      </c>
    </row>
    <row r="66" spans="8:8" x14ac:dyDescent="0.55000000000000004">
      <c r="H66" s="6" t="s">
        <v>83</v>
      </c>
    </row>
    <row r="67" spans="8:8" x14ac:dyDescent="0.55000000000000004">
      <c r="H67" s="6" t="s">
        <v>84</v>
      </c>
    </row>
    <row r="68" spans="8:8" x14ac:dyDescent="0.55000000000000004">
      <c r="H68" s="6" t="s">
        <v>85</v>
      </c>
    </row>
    <row r="69" spans="8:8" x14ac:dyDescent="0.55000000000000004">
      <c r="H69" s="6" t="s">
        <v>86</v>
      </c>
    </row>
    <row r="70" spans="8:8" x14ac:dyDescent="0.55000000000000004">
      <c r="H70" s="6" t="s">
        <v>87</v>
      </c>
    </row>
    <row r="71" spans="8:8" x14ac:dyDescent="0.55000000000000004">
      <c r="H71" s="6" t="s">
        <v>88</v>
      </c>
    </row>
    <row r="72" spans="8:8" x14ac:dyDescent="0.55000000000000004">
      <c r="H72" s="6" t="s">
        <v>89</v>
      </c>
    </row>
    <row r="73" spans="8:8" x14ac:dyDescent="0.55000000000000004">
      <c r="H73" s="6" t="s">
        <v>90</v>
      </c>
    </row>
    <row r="74" spans="8:8" x14ac:dyDescent="0.55000000000000004">
      <c r="H74" s="6" t="s">
        <v>91</v>
      </c>
    </row>
    <row r="75" spans="8:8" x14ac:dyDescent="0.55000000000000004">
      <c r="H75" s="6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56"/>
  <sheetViews>
    <sheetView rightToLeft="1" zoomScale="70" zoomScaleNormal="70" workbookViewId="0">
      <selection activeCell="T10" sqref="T10:T11"/>
    </sheetView>
  </sheetViews>
  <sheetFormatPr defaultRowHeight="22.5" x14ac:dyDescent="0.55000000000000004"/>
  <cols>
    <col min="1" max="1" width="3.33203125" style="1" customWidth="1"/>
    <col min="2" max="2" width="3" style="1" customWidth="1"/>
    <col min="3" max="3" width="24.88671875" style="1" customWidth="1"/>
    <col min="4" max="4" width="14.44140625" style="1" bestFit="1" customWidth="1"/>
    <col min="5" max="5" width="15.5546875" style="1" bestFit="1" customWidth="1"/>
    <col min="6" max="6" width="12.5546875" style="1" bestFit="1" customWidth="1"/>
    <col min="7" max="7" width="16.77734375" style="1" bestFit="1" customWidth="1"/>
    <col min="8" max="9" width="3" style="1" customWidth="1"/>
    <col min="10" max="10" width="21.88671875" style="1" bestFit="1" customWidth="1"/>
    <col min="11" max="11" width="16.6640625" style="1" bestFit="1" customWidth="1"/>
    <col min="12" max="12" width="11.6640625" style="1" customWidth="1"/>
    <col min="13" max="13" width="16.6640625" style="1" bestFit="1" customWidth="1"/>
    <col min="14" max="14" width="7.109375" style="1" bestFit="1" customWidth="1"/>
    <col min="15" max="15" width="7.77734375" style="1" bestFit="1" customWidth="1"/>
    <col min="16" max="16" width="9.44140625" style="1" bestFit="1" customWidth="1"/>
    <col min="17" max="17" width="5.6640625" style="1" customWidth="1"/>
    <col min="18" max="16384" width="8.88671875" style="1"/>
  </cols>
  <sheetData>
    <row r="1" spans="2:17" ht="23.25" thickBot="1" x14ac:dyDescent="0.6">
      <c r="C1" s="53" t="s">
        <v>137</v>
      </c>
    </row>
    <row r="2" spans="2:17" x14ac:dyDescent="0.55000000000000004">
      <c r="B2" s="28"/>
      <c r="C2" s="53"/>
      <c r="D2" s="29"/>
      <c r="E2" s="29"/>
      <c r="F2" s="29"/>
      <c r="G2" s="29"/>
      <c r="H2" s="30"/>
      <c r="Q2" s="24" t="str">
        <f ca="1">IFERROR(OFFSET(#REF!,SMALL(#REF!,ROW(B1))-1,0),"")</f>
        <v/>
      </c>
    </row>
    <row r="3" spans="2:17" ht="26.25" x14ac:dyDescent="0.55000000000000004">
      <c r="B3" s="31"/>
      <c r="C3" s="52" t="s">
        <v>3</v>
      </c>
      <c r="D3" s="52"/>
      <c r="E3" s="52"/>
      <c r="F3" s="52"/>
      <c r="G3" s="52"/>
      <c r="H3" s="32"/>
      <c r="Q3" s="24" t="str">
        <f ca="1">IFERROR(OFFSET(#REF!,SMALL(#REF!,ROW(B2))-1,0),"")</f>
        <v/>
      </c>
    </row>
    <row r="4" spans="2:17" ht="24" x14ac:dyDescent="0.55000000000000004">
      <c r="B4" s="31"/>
      <c r="C4" s="8" t="s">
        <v>96</v>
      </c>
      <c r="D4" s="8" t="s">
        <v>113</v>
      </c>
      <c r="E4" s="8" t="s">
        <v>114</v>
      </c>
      <c r="F4" s="8" t="s">
        <v>115</v>
      </c>
      <c r="G4" s="8" t="s">
        <v>116</v>
      </c>
      <c r="H4" s="32"/>
      <c r="K4" s="1" t="s">
        <v>138</v>
      </c>
      <c r="L4" s="1" t="s">
        <v>139</v>
      </c>
      <c r="M4" s="1" t="s">
        <v>140</v>
      </c>
      <c r="N4" s="1" t="s">
        <v>141</v>
      </c>
      <c r="O4" s="1" t="s">
        <v>142</v>
      </c>
      <c r="Q4" s="24" t="str">
        <f ca="1">IFERROR(OFFSET(#REF!,SMALL(#REF!,ROW(B3))-1,0),"")</f>
        <v/>
      </c>
    </row>
    <row r="5" spans="2:17" x14ac:dyDescent="0.55000000000000004">
      <c r="B5" s="31"/>
      <c r="C5" s="47" t="s">
        <v>170</v>
      </c>
      <c r="D5" s="33">
        <f>COUNTIFS(database!E:E,$C$3,database!I:I,calc!C5,database!B:B,listbox!$D$3,database!A:A,listbox!$B$3)</f>
        <v>3</v>
      </c>
      <c r="E5" s="34">
        <f>D5/$D$23</f>
        <v>0.2</v>
      </c>
      <c r="F5" s="35">
        <f>SUMIFS(database!U:U,database!E:E,calc!$C$3,database!I:I,calc!C5,database!B:B,listbox!$D$3,database!A:A,listbox!$B$3)</f>
        <v>324659229</v>
      </c>
      <c r="G5" s="34">
        <f t="shared" ref="G5:G22" si="0">F5/$F$23</f>
        <v>0.23180642967046408</v>
      </c>
      <c r="H5" s="32"/>
      <c r="I5" s="33"/>
      <c r="J5" s="48" t="str">
        <f>C5</f>
        <v>حراست (کارخانه)</v>
      </c>
      <c r="K5" s="26">
        <v>0.05</v>
      </c>
      <c r="L5" s="26">
        <v>0.2</v>
      </c>
      <c r="M5" s="22">
        <f>G5</f>
        <v>0.23180642967046408</v>
      </c>
      <c r="N5" s="22">
        <f>1-M5</f>
        <v>0.76819357032953595</v>
      </c>
      <c r="O5" s="26">
        <v>0.15</v>
      </c>
      <c r="Q5" s="24" t="str">
        <f ca="1">IFERROR(OFFSET(#REF!,SMALL(#REF!,ROW(B4))-1,0),"")</f>
        <v/>
      </c>
    </row>
    <row r="6" spans="2:17" x14ac:dyDescent="0.55000000000000004">
      <c r="B6" s="31"/>
      <c r="C6" s="47" t="s">
        <v>171</v>
      </c>
      <c r="D6" s="33">
        <f>COUNTIFS(database!E:E,$C$3,database!I:I,calc!C6,database!B:B,listbox!$D$3,database!A:A,listbox!$B$3)</f>
        <v>1</v>
      </c>
      <c r="E6" s="34">
        <f t="shared" ref="E6:E22" si="1">D6/$D$23</f>
        <v>6.6666666666666666E-2</v>
      </c>
      <c r="F6" s="35">
        <f>SUMIFS(database!U:U,database!E:E,calc!$C$3,database!I:I,calc!C6,database!B:B,listbox!$D$3,database!A:A,listbox!$B$3)</f>
        <v>85387974</v>
      </c>
      <c r="G6" s="34">
        <f t="shared" si="0"/>
        <v>6.0966945097175769E-2</v>
      </c>
      <c r="H6" s="32"/>
      <c r="I6" s="33"/>
      <c r="J6" s="48" t="str">
        <f>C6</f>
        <v>آشپزخانه (کارخانه)</v>
      </c>
      <c r="K6" s="26">
        <v>0.05</v>
      </c>
      <c r="L6" s="26">
        <v>0.2</v>
      </c>
      <c r="M6" s="22">
        <f>G6</f>
        <v>6.0966945097175769E-2</v>
      </c>
      <c r="N6" s="22">
        <f t="shared" ref="N6:N22" si="2">1-M6</f>
        <v>0.93903305490282418</v>
      </c>
      <c r="O6" s="26">
        <v>0.15</v>
      </c>
      <c r="Q6" s="24" t="str">
        <f ca="1">IFERROR(OFFSET(#REF!,SMALL(#REF!,ROW(B5))-1,0),"")</f>
        <v/>
      </c>
    </row>
    <row r="7" spans="2:17" x14ac:dyDescent="0.55000000000000004">
      <c r="B7" s="31"/>
      <c r="C7" s="47" t="s">
        <v>172</v>
      </c>
      <c r="D7" s="33">
        <f>COUNTIFS(database!E:E,$C$3,database!I:I,calc!C7,database!B:B,listbox!$D$3,database!A:A,listbox!$B$3)</f>
        <v>0</v>
      </c>
      <c r="E7" s="34">
        <f t="shared" si="1"/>
        <v>0</v>
      </c>
      <c r="F7" s="35">
        <f>SUMIFS(database!U:U,database!E:E,calc!$C$3,database!I:I,calc!C7,database!B:B,listbox!$D$3,database!A:A,listbox!$B$3)</f>
        <v>0</v>
      </c>
      <c r="G7" s="34">
        <f t="shared" si="0"/>
        <v>0</v>
      </c>
      <c r="H7" s="32"/>
      <c r="I7" s="33"/>
      <c r="J7" s="48" t="str">
        <f>C7</f>
        <v>تدارکات (کارخانه)</v>
      </c>
      <c r="K7" s="26">
        <v>0.05</v>
      </c>
      <c r="L7" s="26">
        <v>0.2</v>
      </c>
      <c r="M7" s="22">
        <f>G7</f>
        <v>0</v>
      </c>
      <c r="N7" s="22">
        <f t="shared" si="2"/>
        <v>1</v>
      </c>
      <c r="O7" s="26">
        <v>0.15</v>
      </c>
      <c r="Q7" s="24" t="str">
        <f ca="1">IFERROR(OFFSET(#REF!,SMALL(#REF!,ROW(B6))-1,0),"")</f>
        <v/>
      </c>
    </row>
    <row r="8" spans="2:17" x14ac:dyDescent="0.55000000000000004">
      <c r="B8" s="31"/>
      <c r="C8" s="47" t="s">
        <v>173</v>
      </c>
      <c r="D8" s="33">
        <f>COUNTIFS(database!E:E,$C$3,database!I:I,calc!C8,database!B:B,listbox!$D$3,database!A:A,listbox!$B$3)</f>
        <v>1</v>
      </c>
      <c r="E8" s="34">
        <f t="shared" si="1"/>
        <v>6.6666666666666666E-2</v>
      </c>
      <c r="F8" s="35">
        <f>SUMIFS(database!U:U,database!E:E,calc!$C$3,database!I:I,calc!C8,database!B:B,listbox!$D$3,database!A:A,listbox!$B$3)</f>
        <v>86544357</v>
      </c>
      <c r="G8" s="34">
        <f t="shared" si="0"/>
        <v>6.1792601633684149E-2</v>
      </c>
      <c r="H8" s="32"/>
      <c r="I8" s="33"/>
      <c r="J8" s="48" t="str">
        <f>C8</f>
        <v>انبار (کارخانه)</v>
      </c>
      <c r="K8" s="26">
        <v>0.05</v>
      </c>
      <c r="L8" s="26">
        <v>0.2</v>
      </c>
      <c r="M8" s="22">
        <f>G8</f>
        <v>6.1792601633684149E-2</v>
      </c>
      <c r="N8" s="22">
        <f t="shared" si="2"/>
        <v>0.93820739836631584</v>
      </c>
      <c r="O8" s="26">
        <v>0.15</v>
      </c>
      <c r="Q8" s="24" t="str">
        <f ca="1">IFERROR(OFFSET(#REF!,SMALL(#REF!,ROW(B7))-1,0),"")</f>
        <v/>
      </c>
    </row>
    <row r="9" spans="2:17" x14ac:dyDescent="0.55000000000000004">
      <c r="B9" s="31"/>
      <c r="C9" s="47" t="s">
        <v>174</v>
      </c>
      <c r="D9" s="33">
        <f>COUNTIFS(database!E:E,$C$3,database!I:I,calc!C9,database!B:B,listbox!$D$3,database!A:A,listbox!$B$3)</f>
        <v>0</v>
      </c>
      <c r="E9" s="34">
        <f t="shared" si="1"/>
        <v>0</v>
      </c>
      <c r="F9" s="35">
        <f>SUMIFS(database!U:U,database!E:E,calc!$C$3,database!I:I,calc!C9,database!B:B,listbox!$D$3,database!A:A,listbox!$B$3)</f>
        <v>0</v>
      </c>
      <c r="G9" s="34">
        <f t="shared" si="0"/>
        <v>0</v>
      </c>
      <c r="H9" s="32"/>
      <c r="I9" s="33"/>
      <c r="J9" s="48" t="str">
        <f>C9</f>
        <v>تاسیسات (کارخانه)</v>
      </c>
      <c r="K9" s="26">
        <v>0.05</v>
      </c>
      <c r="L9" s="26">
        <v>0.2</v>
      </c>
      <c r="M9" s="22">
        <f>G9</f>
        <v>0</v>
      </c>
      <c r="N9" s="22">
        <f t="shared" si="2"/>
        <v>1</v>
      </c>
      <c r="O9" s="26">
        <v>0.15</v>
      </c>
      <c r="Q9" s="24" t="str">
        <f ca="1">IFERROR(OFFSET(#REF!,SMALL(#REF!,ROW(B8))-1,0),"")</f>
        <v/>
      </c>
    </row>
    <row r="10" spans="2:17" x14ac:dyDescent="0.55000000000000004">
      <c r="B10" s="31"/>
      <c r="C10" s="47" t="s">
        <v>175</v>
      </c>
      <c r="D10" s="33">
        <f>COUNTIFS(database!E:E,$C$3,database!I:I,calc!C10,database!B:B,listbox!$D$3,database!A:A,listbox!$B$3)</f>
        <v>1</v>
      </c>
      <c r="E10" s="34">
        <f t="shared" si="1"/>
        <v>6.6666666666666666E-2</v>
      </c>
      <c r="F10" s="35">
        <f>SUMIFS(database!U:U,database!E:E,calc!$C$3,database!I:I,calc!C10,database!B:B,listbox!$D$3,database!A:A,listbox!$B$3)</f>
        <v>156910334</v>
      </c>
      <c r="G10" s="34">
        <f t="shared" si="0"/>
        <v>0.11203385289546175</v>
      </c>
      <c r="H10" s="32"/>
      <c r="I10" s="33"/>
      <c r="J10" s="48" t="str">
        <f>C10</f>
        <v>فنی تولید (کارخانه)</v>
      </c>
      <c r="K10" s="26">
        <v>0.05</v>
      </c>
      <c r="L10" s="26">
        <v>0.2</v>
      </c>
      <c r="M10" s="22">
        <f>G10</f>
        <v>0.11203385289546175</v>
      </c>
      <c r="N10" s="22">
        <f t="shared" si="2"/>
        <v>0.88796614710453825</v>
      </c>
      <c r="O10" s="26">
        <v>0.15</v>
      </c>
      <c r="Q10" s="24" t="str">
        <f ca="1">IFERROR(OFFSET(#REF!,SMALL(#REF!,ROW(B9))-1,0),"")</f>
        <v/>
      </c>
    </row>
    <row r="11" spans="2:17" x14ac:dyDescent="0.55000000000000004">
      <c r="B11" s="31"/>
      <c r="C11" s="47" t="s">
        <v>197</v>
      </c>
      <c r="D11" s="33">
        <f>COUNTIFS(database!E:E,$C$3,database!I:I,calc!C11,database!B:B,listbox!$D$3,database!A:A,listbox!$B$3)</f>
        <v>1</v>
      </c>
      <c r="E11" s="34">
        <f t="shared" si="1"/>
        <v>6.6666666666666666E-2</v>
      </c>
      <c r="F11" s="35">
        <f>SUMIFS(database!U:U,database!E:E,calc!$C$3,database!I:I,calc!C11,database!B:B,listbox!$D$3,database!A:A,listbox!$B$3)</f>
        <v>46422667</v>
      </c>
      <c r="G11" s="34">
        <f t="shared" si="0"/>
        <v>3.314574708440176E-2</v>
      </c>
      <c r="H11" s="32"/>
      <c r="I11" s="33"/>
      <c r="J11" s="48" t="str">
        <f>C11</f>
        <v>تعمیر و نگهداری(کارخانه)</v>
      </c>
      <c r="K11" s="26">
        <v>0.05</v>
      </c>
      <c r="L11" s="26">
        <v>0.2</v>
      </c>
      <c r="M11" s="22">
        <f>G11</f>
        <v>3.314574708440176E-2</v>
      </c>
      <c r="N11" s="22">
        <f t="shared" si="2"/>
        <v>0.96685425291559823</v>
      </c>
      <c r="O11" s="26">
        <v>0.15</v>
      </c>
      <c r="Q11" s="24" t="str">
        <f ca="1">IFERROR(OFFSET(#REF!,SMALL(#REF!,ROW(B10))-1,0),"")</f>
        <v/>
      </c>
    </row>
    <row r="12" spans="2:17" x14ac:dyDescent="0.55000000000000004">
      <c r="B12" s="31"/>
      <c r="C12" s="47" t="s">
        <v>201</v>
      </c>
      <c r="D12" s="33">
        <f>COUNTIFS(database!E:E,$C$3,database!I:I,calc!C12,database!B:B,listbox!$D$3,database!A:A,listbox!$B$3)</f>
        <v>0</v>
      </c>
      <c r="E12" s="34">
        <f t="shared" si="1"/>
        <v>0</v>
      </c>
      <c r="F12" s="35">
        <f>SUMIFS(database!U:U,database!E:E,calc!$C$3,database!I:I,calc!C12,database!B:B,listbox!$D$3,database!A:A,listbox!$B$3)</f>
        <v>0</v>
      </c>
      <c r="G12" s="34">
        <f t="shared" si="0"/>
        <v>0</v>
      </c>
      <c r="H12" s="32"/>
      <c r="I12" s="33"/>
      <c r="J12" s="48" t="str">
        <f>C12</f>
        <v>QC و کنترل کیفیت(کارخانه)</v>
      </c>
      <c r="K12" s="26">
        <v>0.05</v>
      </c>
      <c r="L12" s="26">
        <v>0.2</v>
      </c>
      <c r="M12" s="22">
        <f>G12</f>
        <v>0</v>
      </c>
      <c r="N12" s="22">
        <f t="shared" si="2"/>
        <v>1</v>
      </c>
      <c r="O12" s="26">
        <v>0.15</v>
      </c>
      <c r="Q12" s="24" t="str">
        <f ca="1">IFERROR(OFFSET(#REF!,SMALL(#REF!,ROW(B11))-1,0),"")</f>
        <v/>
      </c>
    </row>
    <row r="13" spans="2:17" x14ac:dyDescent="0.55000000000000004">
      <c r="B13" s="31"/>
      <c r="C13" s="47" t="s">
        <v>177</v>
      </c>
      <c r="D13" s="33">
        <f>COUNTIFS(database!E:E,$C$3,database!I:I,calc!C13,database!B:B,listbox!$D$3,database!A:A,listbox!$B$3)</f>
        <v>1</v>
      </c>
      <c r="E13" s="34">
        <f t="shared" si="1"/>
        <v>6.6666666666666666E-2</v>
      </c>
      <c r="F13" s="35">
        <f>SUMIFS(database!U:U,database!E:E,calc!$C$3,database!I:I,calc!C13,database!B:B,listbox!$D$3,database!A:A,listbox!$B$3)</f>
        <v>39328339</v>
      </c>
      <c r="G13" s="34">
        <f t="shared" si="0"/>
        <v>2.8080402570227474E-2</v>
      </c>
      <c r="H13" s="32"/>
      <c r="I13" s="33"/>
      <c r="J13" s="48" t="str">
        <f>C13</f>
        <v>حمل مواد اولیه (کارخانه)</v>
      </c>
      <c r="K13" s="26">
        <v>0.05</v>
      </c>
      <c r="L13" s="26">
        <v>0.2</v>
      </c>
      <c r="M13" s="22">
        <f>G13</f>
        <v>2.8080402570227474E-2</v>
      </c>
      <c r="N13" s="22">
        <f t="shared" si="2"/>
        <v>0.97191959742977252</v>
      </c>
      <c r="O13" s="26">
        <v>0.15</v>
      </c>
      <c r="Q13" s="24" t="str">
        <f ca="1">IFERROR(OFFSET(#REF!,SMALL(#REF!,ROW(B12))-1,0),"")</f>
        <v/>
      </c>
    </row>
    <row r="14" spans="2:17" x14ac:dyDescent="0.55000000000000004">
      <c r="B14" s="31"/>
      <c r="C14" s="47" t="s">
        <v>200</v>
      </c>
      <c r="D14" s="33">
        <f>COUNTIFS(database!E:E,$C$3,database!I:I,calc!C14,database!B:B,listbox!$D$3,database!A:A,listbox!$B$3)</f>
        <v>0</v>
      </c>
      <c r="E14" s="34">
        <f t="shared" si="1"/>
        <v>0</v>
      </c>
      <c r="F14" s="35">
        <f>SUMIFS(database!U:U,database!E:E,calc!$C$3,database!I:I,calc!C14,database!B:B,listbox!$D$3,database!A:A,listbox!$B$3)</f>
        <v>0</v>
      </c>
      <c r="G14" s="34">
        <f t="shared" si="0"/>
        <v>0</v>
      </c>
      <c r="H14" s="32"/>
      <c r="I14" s="33"/>
      <c r="J14" s="48" t="str">
        <f>C14</f>
        <v>حمل محصولات و سایر(کارخانه)</v>
      </c>
      <c r="K14" s="26">
        <v>0.05</v>
      </c>
      <c r="L14" s="26">
        <v>0.2</v>
      </c>
      <c r="M14" s="22">
        <f>G14</f>
        <v>0</v>
      </c>
      <c r="N14" s="22">
        <f t="shared" si="2"/>
        <v>1</v>
      </c>
      <c r="O14" s="26">
        <v>0.15</v>
      </c>
      <c r="Q14" s="24" t="str">
        <f ca="1">IFERROR(OFFSET(#REF!,SMALL(#REF!,ROW(B13))-1,0),"")</f>
        <v/>
      </c>
    </row>
    <row r="15" spans="2:17" x14ac:dyDescent="0.55000000000000004">
      <c r="B15" s="31"/>
      <c r="C15" s="47" t="s">
        <v>179</v>
      </c>
      <c r="D15" s="33">
        <f>COUNTIFS(database!E:E,$C$3,database!I:I,calc!C15,database!B:B,listbox!$D$3,database!A:A,listbox!$B$3)</f>
        <v>1</v>
      </c>
      <c r="E15" s="34">
        <f t="shared" si="1"/>
        <v>6.6666666666666666E-2</v>
      </c>
      <c r="F15" s="35">
        <f>SUMIFS(database!U:U,database!E:E,calc!$C$3,database!I:I,calc!C15,database!B:B,listbox!$D$3,database!A:A,listbox!$B$3)</f>
        <v>100000000</v>
      </c>
      <c r="G15" s="34">
        <f t="shared" si="0"/>
        <v>7.1399919966687306E-2</v>
      </c>
      <c r="H15" s="32"/>
      <c r="I15" s="33"/>
      <c r="J15" s="48" t="str">
        <f>C15</f>
        <v>قالب سازی(کارخانه)</v>
      </c>
      <c r="K15" s="26">
        <v>0.05</v>
      </c>
      <c r="L15" s="26">
        <v>0.2</v>
      </c>
      <c r="M15" s="22">
        <f>G15</f>
        <v>7.1399919966687306E-2</v>
      </c>
      <c r="N15" s="22">
        <f t="shared" si="2"/>
        <v>0.92860008003331274</v>
      </c>
      <c r="O15" s="26">
        <v>0.15</v>
      </c>
      <c r="Q15" s="24" t="str">
        <f ca="1">IFERROR(OFFSET(#REF!,SMALL(#REF!,ROW(B14))-1,0),"")</f>
        <v/>
      </c>
    </row>
    <row r="16" spans="2:17" x14ac:dyDescent="0.55000000000000004">
      <c r="B16" s="31"/>
      <c r="C16" s="47" t="s">
        <v>180</v>
      </c>
      <c r="D16" s="33">
        <f>COUNTIFS(database!E:E,$C$3,database!I:I,calc!C16,database!B:B,listbox!$D$3,database!A:A,listbox!$B$3)</f>
        <v>2</v>
      </c>
      <c r="E16" s="34">
        <f t="shared" si="1"/>
        <v>0.13333333333333333</v>
      </c>
      <c r="F16" s="35">
        <f>SUMIFS(database!U:U,database!E:E,calc!$C$3,database!I:I,calc!C16,database!B:B,listbox!$D$3,database!A:A,listbox!$B$3)</f>
        <v>197229411</v>
      </c>
      <c r="G16" s="34">
        <f t="shared" si="0"/>
        <v>0.14082164160476879</v>
      </c>
      <c r="H16" s="32"/>
      <c r="I16" s="33"/>
      <c r="J16" s="48" t="str">
        <f>C16</f>
        <v>بتن سازی(کارخانه)</v>
      </c>
      <c r="K16" s="26">
        <v>0.05</v>
      </c>
      <c r="L16" s="26">
        <v>0.2</v>
      </c>
      <c r="M16" s="22">
        <f>G16</f>
        <v>0.14082164160476879</v>
      </c>
      <c r="N16" s="22">
        <f t="shared" si="2"/>
        <v>0.85917835839523127</v>
      </c>
      <c r="O16" s="26">
        <v>0.15</v>
      </c>
      <c r="Q16" s="24" t="str">
        <f ca="1">IFERROR(OFFSET(#REF!,SMALL(#REF!,ROW(B15))-1,0),"")</f>
        <v/>
      </c>
    </row>
    <row r="17" spans="2:17" x14ac:dyDescent="0.55000000000000004">
      <c r="B17" s="31"/>
      <c r="C17" s="47" t="s">
        <v>181</v>
      </c>
      <c r="D17" s="33">
        <f>COUNTIFS(database!E:E,$C$3,database!I:I,calc!C17,database!B:B,listbox!$D$3,database!A:A,listbox!$B$3)</f>
        <v>2</v>
      </c>
      <c r="E17" s="34">
        <f t="shared" si="1"/>
        <v>0.13333333333333333</v>
      </c>
      <c r="F17" s="35">
        <f>SUMIFS(database!U:U,database!E:E,calc!$C$3,database!I:I,calc!C17,database!B:B,listbox!$D$3,database!A:A,listbox!$B$3)</f>
        <v>191168113</v>
      </c>
      <c r="G17" s="34">
        <f t="shared" si="0"/>
        <v>0.13649387968382637</v>
      </c>
      <c r="H17" s="32"/>
      <c r="I17" s="33"/>
      <c r="J17" s="48" t="str">
        <f>C17</f>
        <v>بتن ریزی(کارخانه)</v>
      </c>
      <c r="K17" s="26">
        <v>0.05</v>
      </c>
      <c r="L17" s="26">
        <v>0.2</v>
      </c>
      <c r="M17" s="22">
        <f>G17</f>
        <v>0.13649387968382637</v>
      </c>
      <c r="N17" s="22">
        <f t="shared" si="2"/>
        <v>0.86350612031617358</v>
      </c>
      <c r="O17" s="26">
        <v>0.15</v>
      </c>
      <c r="Q17" s="24" t="str">
        <f ca="1">IFERROR(OFFSET(#REF!,SMALL(#REF!,ROW(B16))-1,0),"")</f>
        <v/>
      </c>
    </row>
    <row r="18" spans="2:17" x14ac:dyDescent="0.55000000000000004">
      <c r="B18" s="31"/>
      <c r="C18" s="47" t="s">
        <v>182</v>
      </c>
      <c r="D18" s="33">
        <f>COUNTIFS(database!E:E,$C$3,database!I:I,calc!C18,database!B:B,listbox!$D$3,database!A:A,listbox!$B$3)</f>
        <v>1</v>
      </c>
      <c r="E18" s="34">
        <f t="shared" si="1"/>
        <v>6.6666666666666666E-2</v>
      </c>
      <c r="F18" s="35">
        <f>SUMIFS(database!U:U,database!E:E,calc!$C$3,database!I:I,calc!C18,database!B:B,listbox!$D$3,database!A:A,listbox!$B$3)</f>
        <v>82884882</v>
      </c>
      <c r="G18" s="34">
        <f t="shared" si="0"/>
        <v>5.9179739412483216E-2</v>
      </c>
      <c r="H18" s="32"/>
      <c r="I18" s="33"/>
      <c r="J18" s="48" t="str">
        <f>C18</f>
        <v>آرماتور، میلگرد (کارخانه)</v>
      </c>
      <c r="K18" s="26">
        <v>0.05</v>
      </c>
      <c r="L18" s="26">
        <v>0.2</v>
      </c>
      <c r="M18" s="22">
        <f>G18</f>
        <v>5.9179739412483216E-2</v>
      </c>
      <c r="N18" s="22">
        <f t="shared" si="2"/>
        <v>0.94082026058751678</v>
      </c>
      <c r="O18" s="26">
        <v>0.15</v>
      </c>
      <c r="Q18" s="24" t="str">
        <f ca="1">IFERROR(OFFSET(#REF!,SMALL(#REF!,ROW(B17))-1,0),"")</f>
        <v/>
      </c>
    </row>
    <row r="19" spans="2:17" x14ac:dyDescent="0.55000000000000004">
      <c r="B19" s="31"/>
      <c r="C19" s="47" t="s">
        <v>183</v>
      </c>
      <c r="D19" s="33">
        <f>COUNTIFS(database!E:E,$C$3,database!I:I,calc!C19,database!B:B,listbox!$D$3,database!A:A,listbox!$B$3)</f>
        <v>0</v>
      </c>
      <c r="E19" s="34">
        <f t="shared" si="1"/>
        <v>0</v>
      </c>
      <c r="F19" s="35">
        <f>SUMIFS(database!U:U,database!E:E,calc!$C$3,database!I:I,calc!C19,database!B:B,listbox!$D$3,database!A:A,listbox!$B$3)</f>
        <v>0</v>
      </c>
      <c r="G19" s="34">
        <f t="shared" si="0"/>
        <v>0</v>
      </c>
      <c r="H19" s="32"/>
      <c r="I19" s="33"/>
      <c r="J19" s="48" t="str">
        <f>C19</f>
        <v>کیورینگ(کارخانه)</v>
      </c>
      <c r="K19" s="26">
        <v>0.05</v>
      </c>
      <c r="L19" s="26">
        <v>0.2</v>
      </c>
      <c r="M19" s="22">
        <f>G19</f>
        <v>0</v>
      </c>
      <c r="N19" s="22">
        <f t="shared" si="2"/>
        <v>1</v>
      </c>
      <c r="O19" s="26">
        <v>0.15</v>
      </c>
      <c r="Q19" s="24" t="str">
        <f ca="1">IFERROR(OFFSET(#REF!,SMALL(#REF!,ROW(B18))-1,0),"")</f>
        <v/>
      </c>
    </row>
    <row r="20" spans="2:17" x14ac:dyDescent="0.55000000000000004">
      <c r="B20" s="31"/>
      <c r="C20" s="47" t="s">
        <v>184</v>
      </c>
      <c r="D20" s="33">
        <f>COUNTIFS(database!E:E,$C$3,database!I:I,calc!C20,database!B:B,listbox!$D$3,database!A:A,listbox!$B$3)</f>
        <v>0</v>
      </c>
      <c r="E20" s="34">
        <f t="shared" si="1"/>
        <v>0</v>
      </c>
      <c r="F20" s="35">
        <f>SUMIFS(database!U:U,database!E:E,calc!$C$3,database!I:I,calc!C20,database!B:B,listbox!$D$3,database!A:A,listbox!$B$3)</f>
        <v>0</v>
      </c>
      <c r="G20" s="34">
        <f t="shared" si="0"/>
        <v>0</v>
      </c>
      <c r="H20" s="32"/>
      <c r="I20" s="33"/>
      <c r="J20" s="48" t="str">
        <f>C20</f>
        <v>مدیریت(کارخانه)</v>
      </c>
      <c r="K20" s="26">
        <v>0.05</v>
      </c>
      <c r="L20" s="26">
        <v>0.2</v>
      </c>
      <c r="M20" s="22">
        <f>G20</f>
        <v>0</v>
      </c>
      <c r="N20" s="22">
        <f t="shared" si="2"/>
        <v>1</v>
      </c>
      <c r="O20" s="26">
        <v>0.15</v>
      </c>
    </row>
    <row r="21" spans="2:17" x14ac:dyDescent="0.55000000000000004">
      <c r="B21" s="31"/>
      <c r="C21" s="47" t="s">
        <v>185</v>
      </c>
      <c r="D21" s="33">
        <f>COUNTIFS(database!E:E,$C$3,database!I:I,calc!C21,database!B:B,listbox!$D$3,database!A:A,listbox!$B$3)</f>
        <v>1</v>
      </c>
      <c r="E21" s="34">
        <f t="shared" si="1"/>
        <v>6.6666666666666666E-2</v>
      </c>
      <c r="F21" s="35">
        <f>SUMIFS(database!U:U,database!E:E,calc!$C$3,database!I:I,calc!C21,database!B:B,listbox!$D$3,database!A:A,listbox!$B$3)</f>
        <v>90026488</v>
      </c>
      <c r="G21" s="34">
        <f t="shared" si="0"/>
        <v>6.4278840380819352E-2</v>
      </c>
      <c r="H21" s="32"/>
      <c r="I21" s="33"/>
      <c r="J21" s="48" t="str">
        <f>C21</f>
        <v>اداری(کارخانه)</v>
      </c>
      <c r="K21" s="26">
        <v>0.05</v>
      </c>
      <c r="L21" s="26">
        <v>0.2</v>
      </c>
      <c r="M21" s="22">
        <f>G21</f>
        <v>6.4278840380819352E-2</v>
      </c>
      <c r="N21" s="22">
        <f t="shared" si="2"/>
        <v>0.93572115961918068</v>
      </c>
      <c r="O21" s="26">
        <v>0.15</v>
      </c>
    </row>
    <row r="22" spans="2:17" x14ac:dyDescent="0.55000000000000004">
      <c r="B22" s="31"/>
      <c r="C22" s="47" t="s">
        <v>169</v>
      </c>
      <c r="D22" s="33">
        <f>COUNTIFS(database!E:E,$C$3,database!I:I,calc!C22,database!B:B,listbox!$D$3,database!A:A,listbox!$B$3)</f>
        <v>0</v>
      </c>
      <c r="E22" s="34">
        <f t="shared" si="1"/>
        <v>0</v>
      </c>
      <c r="F22" s="35">
        <f>SUMIFS(database!U:U,database!E:E,calc!$C$3,database!I:I,calc!C22,database!B:B,listbox!$D$3,database!A:A,listbox!$B$3)</f>
        <v>0</v>
      </c>
      <c r="G22" s="34">
        <f t="shared" si="0"/>
        <v>0</v>
      </c>
      <c r="H22" s="32"/>
      <c r="I22" s="33"/>
      <c r="J22" s="48" t="str">
        <f>C22</f>
        <v>توزیع و فروش</v>
      </c>
      <c r="K22" s="26">
        <v>0.05</v>
      </c>
      <c r="L22" s="26">
        <v>0.2</v>
      </c>
      <c r="M22" s="22">
        <f>G22</f>
        <v>0</v>
      </c>
      <c r="N22" s="22">
        <f t="shared" si="2"/>
        <v>1</v>
      </c>
      <c r="O22" s="26">
        <v>0.15</v>
      </c>
    </row>
    <row r="23" spans="2:17" ht="24" x14ac:dyDescent="0.55000000000000004">
      <c r="B23" s="31"/>
      <c r="C23" s="21" t="s">
        <v>136</v>
      </c>
      <c r="D23" s="21">
        <f>SUM(D5:D22)</f>
        <v>15</v>
      </c>
      <c r="E23" s="23">
        <f>SUM(E5:E22)</f>
        <v>0.99999999999999989</v>
      </c>
      <c r="F23" s="25">
        <f>SUM(F5:F22)</f>
        <v>1400561794</v>
      </c>
      <c r="G23" s="23">
        <f>SUM(G5:G22)</f>
        <v>1</v>
      </c>
      <c r="H23" s="32"/>
      <c r="I23" s="33"/>
    </row>
    <row r="24" spans="2:17" x14ac:dyDescent="0.55000000000000004">
      <c r="B24" s="31"/>
      <c r="C24" s="33"/>
      <c r="D24" s="33"/>
      <c r="E24" s="33"/>
      <c r="F24" s="33"/>
      <c r="G24" s="33"/>
      <c r="H24" s="32"/>
      <c r="I24" s="33"/>
    </row>
    <row r="25" spans="2:17" x14ac:dyDescent="0.55000000000000004">
      <c r="B25" s="31"/>
      <c r="C25" s="33"/>
      <c r="D25" s="33"/>
      <c r="E25" s="33"/>
      <c r="F25" s="33"/>
      <c r="G25" s="33"/>
      <c r="H25" s="32"/>
      <c r="I25" s="33"/>
    </row>
    <row r="26" spans="2:17" ht="26.25" x14ac:dyDescent="0.55000000000000004">
      <c r="B26" s="31"/>
      <c r="C26" s="52" t="s">
        <v>4</v>
      </c>
      <c r="D26" s="52"/>
      <c r="E26" s="52"/>
      <c r="F26" s="52"/>
      <c r="G26" s="52"/>
      <c r="H26" s="32"/>
      <c r="I26" s="33"/>
    </row>
    <row r="27" spans="2:17" ht="24" x14ac:dyDescent="0.55000000000000004">
      <c r="B27" s="31"/>
      <c r="C27" s="8" t="s">
        <v>96</v>
      </c>
      <c r="D27" s="8" t="s">
        <v>113</v>
      </c>
      <c r="E27" s="8" t="s">
        <v>114</v>
      </c>
      <c r="F27" s="8" t="s">
        <v>115</v>
      </c>
      <c r="G27" s="8" t="s">
        <v>116</v>
      </c>
      <c r="H27" s="32"/>
      <c r="I27" s="33"/>
      <c r="K27" s="1" t="s">
        <v>138</v>
      </c>
      <c r="L27" s="1" t="s">
        <v>139</v>
      </c>
      <c r="M27" s="1" t="s">
        <v>140</v>
      </c>
      <c r="N27" s="1" t="s">
        <v>141</v>
      </c>
      <c r="O27" s="1" t="s">
        <v>142</v>
      </c>
    </row>
    <row r="28" spans="2:17" x14ac:dyDescent="0.55000000000000004">
      <c r="B28" s="31"/>
      <c r="C28" s="47" t="s">
        <v>189</v>
      </c>
      <c r="D28" s="33">
        <f>COUNTIFS(database!E:E,$C$26,database!I:I,calc!C28,database!B:B,listbox!$D$3,database!A:A,listbox!$B$3)</f>
        <v>0</v>
      </c>
      <c r="E28" s="34">
        <f t="shared" ref="E28:E35" si="3">D28/$D$36</f>
        <v>0</v>
      </c>
      <c r="F28" s="35">
        <f>SUMIFS(database!U:U,database!E:E,calc!$C$26,database!I:I,calc!C28,database!B:B,listbox!$D$3,database!A:A,listbox!$B$3)</f>
        <v>0</v>
      </c>
      <c r="G28" s="34">
        <f t="shared" ref="G28:G35" si="4">F28/$F$36</f>
        <v>0</v>
      </c>
      <c r="H28" s="32"/>
      <c r="I28" s="33"/>
      <c r="J28" s="7" t="str">
        <f>C28</f>
        <v>آشپزخانه(دفتر مرکزی)</v>
      </c>
      <c r="K28" s="26">
        <v>0.05</v>
      </c>
      <c r="L28" s="26">
        <v>0.2</v>
      </c>
      <c r="M28" s="22">
        <f>G28</f>
        <v>0</v>
      </c>
      <c r="N28" s="22">
        <f>1-M28</f>
        <v>1</v>
      </c>
      <c r="O28" s="26">
        <v>0.15</v>
      </c>
    </row>
    <row r="29" spans="2:17" x14ac:dyDescent="0.55000000000000004">
      <c r="B29" s="31"/>
      <c r="C29" s="47" t="s">
        <v>190</v>
      </c>
      <c r="D29" s="33">
        <f>COUNTIFS(database!E:E,$C$26,database!I:I,calc!C29,database!B:B,listbox!$D$3,database!A:A,listbox!$B$3)</f>
        <v>0</v>
      </c>
      <c r="E29" s="34">
        <f t="shared" si="3"/>
        <v>0</v>
      </c>
      <c r="F29" s="35">
        <f>SUMIFS(database!U:U,database!E:E,calc!$C$26,database!I:I,calc!C29,database!B:B,listbox!$D$3,database!A:A,listbox!$B$3)</f>
        <v>0</v>
      </c>
      <c r="G29" s="34">
        <f t="shared" si="4"/>
        <v>0</v>
      </c>
      <c r="H29" s="32"/>
      <c r="I29" s="33"/>
      <c r="J29" s="7" t="str">
        <f>C29</f>
        <v>تدارکات(دفتر مرکزی)</v>
      </c>
      <c r="K29" s="26">
        <v>0.05</v>
      </c>
      <c r="L29" s="26">
        <v>0.2</v>
      </c>
      <c r="M29" s="22">
        <f>G29</f>
        <v>0</v>
      </c>
      <c r="N29" s="22">
        <f t="shared" ref="N29:N35" si="5">1-M29</f>
        <v>1</v>
      </c>
      <c r="O29" s="26">
        <v>0.15</v>
      </c>
    </row>
    <row r="30" spans="2:17" x14ac:dyDescent="0.55000000000000004">
      <c r="B30" s="31"/>
      <c r="C30" s="47" t="s">
        <v>191</v>
      </c>
      <c r="D30" s="33">
        <f>COUNTIFS(database!E:E,$C$26,database!I:I,calc!C30,database!B:B,listbox!$D$3,database!A:A,listbox!$B$3)</f>
        <v>0</v>
      </c>
      <c r="E30" s="34">
        <f t="shared" si="3"/>
        <v>0</v>
      </c>
      <c r="F30" s="35">
        <f>SUMIFS(database!U:U,database!E:E,calc!$C$26,database!I:I,calc!C30,database!B:B,listbox!$D$3,database!A:A,listbox!$B$3)</f>
        <v>0</v>
      </c>
      <c r="G30" s="34">
        <f t="shared" si="4"/>
        <v>0</v>
      </c>
      <c r="H30" s="32"/>
      <c r="I30" s="33"/>
      <c r="J30" s="7" t="str">
        <f>C30</f>
        <v>بازرگانی(دفتر مرکزی)</v>
      </c>
      <c r="K30" s="26">
        <v>0.05</v>
      </c>
      <c r="L30" s="26">
        <v>0.2</v>
      </c>
      <c r="M30" s="22">
        <f>G30</f>
        <v>0</v>
      </c>
      <c r="N30" s="22">
        <f t="shared" si="5"/>
        <v>1</v>
      </c>
      <c r="O30" s="26">
        <v>0.15</v>
      </c>
    </row>
    <row r="31" spans="2:17" x14ac:dyDescent="0.55000000000000004">
      <c r="B31" s="31"/>
      <c r="C31" s="47" t="s">
        <v>192</v>
      </c>
      <c r="D31" s="33">
        <f>COUNTIFS(database!E:E,$C$26,database!I:I,calc!C31,database!B:B,listbox!$D$3,database!A:A,listbox!$B$3)</f>
        <v>0</v>
      </c>
      <c r="E31" s="34">
        <f t="shared" si="3"/>
        <v>0</v>
      </c>
      <c r="F31" s="35">
        <f>SUMIFS(database!U:U,database!E:E,calc!$C$26,database!I:I,calc!C31,database!B:B,listbox!$D$3,database!A:A,listbox!$B$3)</f>
        <v>0</v>
      </c>
      <c r="G31" s="34">
        <f t="shared" si="4"/>
        <v>0</v>
      </c>
      <c r="H31" s="32"/>
      <c r="I31" s="33"/>
      <c r="J31" s="7" t="str">
        <f>C31</f>
        <v>فنی(دفتر مرکزی)</v>
      </c>
      <c r="K31" s="26">
        <v>0.05</v>
      </c>
      <c r="L31" s="26">
        <v>0.2</v>
      </c>
      <c r="M31" s="22">
        <f>G31</f>
        <v>0</v>
      </c>
      <c r="N31" s="22">
        <f t="shared" si="5"/>
        <v>1</v>
      </c>
      <c r="O31" s="26">
        <v>0.15</v>
      </c>
    </row>
    <row r="32" spans="2:17" x14ac:dyDescent="0.55000000000000004">
      <c r="B32" s="31"/>
      <c r="C32" s="47" t="s">
        <v>193</v>
      </c>
      <c r="D32" s="33">
        <f>COUNTIFS(database!E:E,$C$26,database!I:I,calc!C32,database!B:B,listbox!$D$3,database!A:A,listbox!$B$3)</f>
        <v>1</v>
      </c>
      <c r="E32" s="34">
        <f t="shared" si="3"/>
        <v>0.33333333333333331</v>
      </c>
      <c r="F32" s="35">
        <f>SUMIFS(database!U:U,database!E:E,calc!$C$26,database!I:I,calc!C32,database!B:B,listbox!$D$3,database!A:A,listbox!$B$3)</f>
        <v>147470350</v>
      </c>
      <c r="G32" s="34">
        <f t="shared" si="4"/>
        <v>0.41031955317138646</v>
      </c>
      <c r="H32" s="32"/>
      <c r="I32" s="33"/>
      <c r="J32" s="7" t="str">
        <f>C32</f>
        <v>مدیریت عامل(دفتر مرکزی)</v>
      </c>
      <c r="K32" s="26">
        <v>0.05</v>
      </c>
      <c r="L32" s="26">
        <v>0.2</v>
      </c>
      <c r="M32" s="22">
        <f>G32</f>
        <v>0.41031955317138646</v>
      </c>
      <c r="N32" s="22">
        <f t="shared" si="5"/>
        <v>0.58968044682861354</v>
      </c>
      <c r="O32" s="26">
        <v>0.15</v>
      </c>
    </row>
    <row r="33" spans="2:15" x14ac:dyDescent="0.55000000000000004">
      <c r="B33" s="31"/>
      <c r="C33" s="47" t="s">
        <v>196</v>
      </c>
      <c r="D33" s="33">
        <f>COUNTIFS(database!E:E,$C$26,database!I:I,calc!C33,database!B:B,listbox!$D$3,database!A:A,listbox!$B$3)</f>
        <v>0</v>
      </c>
      <c r="E33" s="34">
        <f t="shared" si="3"/>
        <v>0</v>
      </c>
      <c r="F33" s="35">
        <f>SUMIFS(database!U:U,database!E:E,calc!$C$26,database!I:I,calc!C33,database!B:B,listbox!$D$3,database!A:A,listbox!$B$3)</f>
        <v>0</v>
      </c>
      <c r="G33" s="34">
        <f t="shared" si="4"/>
        <v>0</v>
      </c>
      <c r="H33" s="32"/>
      <c r="I33" s="33"/>
      <c r="J33" s="7" t="str">
        <f>C33</f>
        <v>هیئت مدیره(دفترمرکزی)</v>
      </c>
      <c r="K33" s="26">
        <v>0.05</v>
      </c>
      <c r="L33" s="26">
        <v>0.2</v>
      </c>
      <c r="M33" s="22">
        <f>G33</f>
        <v>0</v>
      </c>
      <c r="N33" s="22">
        <f t="shared" si="5"/>
        <v>1</v>
      </c>
      <c r="O33" s="26">
        <v>0.15</v>
      </c>
    </row>
    <row r="34" spans="2:15" x14ac:dyDescent="0.55000000000000004">
      <c r="B34" s="31"/>
      <c r="C34" s="47" t="s">
        <v>194</v>
      </c>
      <c r="D34" s="33">
        <f>COUNTIFS(database!E:E,$C$26,database!I:I,calc!C34,database!B:B,listbox!$D$3,database!A:A,listbox!$B$3)</f>
        <v>1</v>
      </c>
      <c r="E34" s="34">
        <f t="shared" si="3"/>
        <v>0.33333333333333331</v>
      </c>
      <c r="F34" s="35">
        <f>SUMIFS(database!U:U,database!E:E,calc!$C$26,database!I:I,calc!C34,database!B:B,listbox!$D$3,database!A:A,listbox!$B$3)</f>
        <v>122133682</v>
      </c>
      <c r="G34" s="34">
        <f t="shared" si="4"/>
        <v>0.33982314292612859</v>
      </c>
      <c r="H34" s="32"/>
      <c r="I34" s="33"/>
      <c r="J34" s="7" t="str">
        <f>C34</f>
        <v>مالی (دفتر مرکزی)</v>
      </c>
      <c r="K34" s="26">
        <v>0.05</v>
      </c>
      <c r="L34" s="26">
        <v>0.2</v>
      </c>
      <c r="M34" s="22">
        <f>G34</f>
        <v>0.33982314292612859</v>
      </c>
      <c r="N34" s="22">
        <f t="shared" si="5"/>
        <v>0.66017685707387141</v>
      </c>
      <c r="O34" s="26">
        <v>0.15</v>
      </c>
    </row>
    <row r="35" spans="2:15" x14ac:dyDescent="0.55000000000000004">
      <c r="B35" s="31"/>
      <c r="C35" s="47" t="s">
        <v>195</v>
      </c>
      <c r="D35" s="33">
        <f>COUNTIFS(database!E:E,$C$26,database!I:I,calc!C35,database!B:B,listbox!$D$3,database!A:A,listbox!$B$3)</f>
        <v>1</v>
      </c>
      <c r="E35" s="34">
        <f t="shared" si="3"/>
        <v>0.33333333333333331</v>
      </c>
      <c r="F35" s="35">
        <f>SUMIFS(database!U:U,database!E:E,calc!$C$26,database!I:I,calc!C35,database!B:B,listbox!$D$3,database!A:A,listbox!$B$3)</f>
        <v>89799630</v>
      </c>
      <c r="G35" s="34">
        <f t="shared" si="4"/>
        <v>0.24985730390248501</v>
      </c>
      <c r="H35" s="32"/>
      <c r="I35" s="33"/>
      <c r="J35" s="7" t="str">
        <f>C35</f>
        <v>اداری (دفتر مرکزی)</v>
      </c>
      <c r="K35" s="26">
        <v>0.05</v>
      </c>
      <c r="L35" s="26">
        <v>0.2</v>
      </c>
      <c r="M35" s="22">
        <f>G35</f>
        <v>0.24985730390248501</v>
      </c>
      <c r="N35" s="22">
        <f t="shared" si="5"/>
        <v>0.75014269609751505</v>
      </c>
      <c r="O35" s="26">
        <v>0.15</v>
      </c>
    </row>
    <row r="36" spans="2:15" ht="24" x14ac:dyDescent="0.55000000000000004">
      <c r="B36" s="31"/>
      <c r="C36" s="21" t="s">
        <v>136</v>
      </c>
      <c r="D36" s="21">
        <f>SUM(D28:D35)</f>
        <v>3</v>
      </c>
      <c r="E36" s="23">
        <f>SUM(E28:E35)</f>
        <v>1</v>
      </c>
      <c r="F36" s="25">
        <f t="shared" ref="F36" si="6">SUM(F28:F35)</f>
        <v>359403662</v>
      </c>
      <c r="G36" s="23">
        <f>SUM(G28:G35)</f>
        <v>1</v>
      </c>
      <c r="H36" s="32"/>
      <c r="I36" s="33"/>
    </row>
    <row r="37" spans="2:15" x14ac:dyDescent="0.55000000000000004">
      <c r="B37" s="31"/>
      <c r="C37" s="33"/>
      <c r="D37" s="33"/>
      <c r="E37" s="33"/>
      <c r="F37" s="33"/>
      <c r="G37" s="33"/>
      <c r="H37" s="32"/>
      <c r="I37" s="33"/>
    </row>
    <row r="38" spans="2:15" x14ac:dyDescent="0.55000000000000004">
      <c r="B38" s="31"/>
      <c r="C38" s="33"/>
      <c r="D38" s="33"/>
      <c r="E38" s="33"/>
      <c r="F38" s="33"/>
      <c r="G38" s="33"/>
      <c r="H38" s="32"/>
      <c r="I38" s="33"/>
    </row>
    <row r="39" spans="2:15" ht="26.25" x14ac:dyDescent="0.55000000000000004">
      <c r="B39" s="31"/>
      <c r="C39" s="52" t="s">
        <v>117</v>
      </c>
      <c r="D39" s="52"/>
      <c r="E39" s="52"/>
      <c r="F39" s="52"/>
      <c r="G39" s="52"/>
      <c r="H39" s="32"/>
      <c r="I39" s="33"/>
    </row>
    <row r="40" spans="2:15" ht="24" x14ac:dyDescent="0.55000000000000004">
      <c r="B40" s="31"/>
      <c r="C40" s="8" t="s">
        <v>96</v>
      </c>
      <c r="D40" s="8" t="s">
        <v>113</v>
      </c>
      <c r="E40" s="8" t="s">
        <v>114</v>
      </c>
      <c r="F40" s="27" t="s">
        <v>115</v>
      </c>
      <c r="G40" s="8" t="s">
        <v>116</v>
      </c>
      <c r="H40" s="32"/>
      <c r="I40" s="33"/>
      <c r="K40" s="1" t="s">
        <v>138</v>
      </c>
      <c r="L40" s="1" t="s">
        <v>139</v>
      </c>
      <c r="M40" s="1" t="s">
        <v>140</v>
      </c>
      <c r="N40" s="1" t="s">
        <v>141</v>
      </c>
      <c r="O40" s="1" t="s">
        <v>142</v>
      </c>
    </row>
    <row r="41" spans="2:15" x14ac:dyDescent="0.55000000000000004">
      <c r="B41" s="31"/>
      <c r="C41" s="7" t="s">
        <v>3</v>
      </c>
      <c r="D41" s="33">
        <f>COUNTIFS(database!E:E,calc!C41,database!B:B,listbox!$D$3,database!A:A,listbox!$B$3)</f>
        <v>15</v>
      </c>
      <c r="E41" s="36">
        <f>D41/$D$43</f>
        <v>0.83333333333333337</v>
      </c>
      <c r="F41" s="35">
        <f>$F$23</f>
        <v>1400561794</v>
      </c>
      <c r="G41" s="36">
        <f>F41/$F$43</f>
        <v>0.79578936576582449</v>
      </c>
      <c r="H41" s="32"/>
      <c r="I41" s="33"/>
      <c r="J41" s="1" t="str">
        <f>C41</f>
        <v>بندرعباس</v>
      </c>
      <c r="K41" s="26">
        <v>0.05</v>
      </c>
      <c r="L41" s="26">
        <v>0.2</v>
      </c>
      <c r="M41" s="22">
        <f>G41</f>
        <v>0.79578936576582449</v>
      </c>
      <c r="N41" s="22">
        <f>1-M41</f>
        <v>0.20421063423417551</v>
      </c>
      <c r="O41" s="26">
        <v>0.15</v>
      </c>
    </row>
    <row r="42" spans="2:15" x14ac:dyDescent="0.55000000000000004">
      <c r="B42" s="31"/>
      <c r="C42" s="7" t="s">
        <v>4</v>
      </c>
      <c r="D42" s="33">
        <f>COUNTIFS(database!E:E,calc!C42,database!B:B,listbox!$D$3,database!A:A,listbox!$B$3)</f>
        <v>3</v>
      </c>
      <c r="E42" s="36">
        <f>D42/$D$43</f>
        <v>0.16666666666666666</v>
      </c>
      <c r="F42" s="35">
        <f>$F$36</f>
        <v>359403662</v>
      </c>
      <c r="G42" s="36">
        <f>F42/$F$43</f>
        <v>0.20421063423417557</v>
      </c>
      <c r="H42" s="32"/>
      <c r="I42" s="33"/>
      <c r="J42" s="1" t="str">
        <f>C42</f>
        <v>تهران</v>
      </c>
      <c r="K42" s="26">
        <v>0.05</v>
      </c>
      <c r="L42" s="26">
        <v>0.2</v>
      </c>
      <c r="M42" s="22">
        <f>G42</f>
        <v>0.20421063423417557</v>
      </c>
      <c r="N42" s="22">
        <f>1-M42</f>
        <v>0.79578936576582437</v>
      </c>
      <c r="O42" s="26">
        <v>0.15</v>
      </c>
    </row>
    <row r="43" spans="2:15" ht="24" x14ac:dyDescent="0.55000000000000004">
      <c r="B43" s="31"/>
      <c r="C43" s="20" t="s">
        <v>136</v>
      </c>
      <c r="D43" s="21">
        <f>SUM(D41:D42)</f>
        <v>18</v>
      </c>
      <c r="E43" s="23">
        <f>SUM(E41:E42)</f>
        <v>1</v>
      </c>
      <c r="F43" s="25">
        <f>SUM(F41:F42)</f>
        <v>1759965456</v>
      </c>
      <c r="G43" s="23">
        <f>SUM(G41:G42)</f>
        <v>1</v>
      </c>
      <c r="H43" s="32"/>
      <c r="I43" s="33"/>
    </row>
    <row r="44" spans="2:15" ht="23.25" thickBot="1" x14ac:dyDescent="0.6">
      <c r="B44" s="37"/>
      <c r="C44" s="38"/>
      <c r="D44" s="38"/>
      <c r="E44" s="38"/>
      <c r="F44" s="38"/>
      <c r="G44" s="38"/>
      <c r="H44" s="39"/>
      <c r="I44" s="33"/>
    </row>
    <row r="45" spans="2:15" x14ac:dyDescent="0.55000000000000004">
      <c r="I45" s="33"/>
    </row>
    <row r="46" spans="2:15" x14ac:dyDescent="0.55000000000000004">
      <c r="I46" s="33"/>
    </row>
    <row r="47" spans="2:15" ht="23.25" thickBot="1" x14ac:dyDescent="0.6">
      <c r="C47" s="53" t="s">
        <v>143</v>
      </c>
      <c r="I47" s="33"/>
    </row>
    <row r="48" spans="2:15" x14ac:dyDescent="0.55000000000000004">
      <c r="B48" s="28"/>
      <c r="C48" s="53"/>
      <c r="D48" s="29"/>
      <c r="E48" s="29"/>
      <c r="F48" s="29"/>
      <c r="G48" s="29"/>
      <c r="H48" s="30"/>
    </row>
    <row r="49" spans="2:13" ht="26.25" x14ac:dyDescent="0.55000000000000004">
      <c r="B49" s="31"/>
      <c r="C49" s="52" t="s">
        <v>3</v>
      </c>
      <c r="D49" s="52"/>
      <c r="E49" s="52"/>
      <c r="F49" s="52"/>
      <c r="G49" s="52"/>
      <c r="H49" s="32"/>
    </row>
    <row r="50" spans="2:13" ht="24" x14ac:dyDescent="0.55000000000000004">
      <c r="B50" s="31"/>
      <c r="C50" s="8" t="s">
        <v>96</v>
      </c>
      <c r="D50" s="8" t="s">
        <v>159</v>
      </c>
      <c r="E50" s="8" t="s">
        <v>160</v>
      </c>
      <c r="F50" s="8" t="s">
        <v>115</v>
      </c>
      <c r="G50" s="8" t="s">
        <v>116</v>
      </c>
      <c r="H50" s="32"/>
      <c r="J50" s="8" t="s">
        <v>163</v>
      </c>
      <c r="K50" s="8" t="s">
        <v>164</v>
      </c>
      <c r="L50" s="8" t="s">
        <v>165</v>
      </c>
      <c r="M50" s="8" t="s">
        <v>166</v>
      </c>
    </row>
    <row r="51" spans="2:13" x14ac:dyDescent="0.55000000000000004">
      <c r="B51" s="31"/>
      <c r="C51" s="47" t="s">
        <v>170</v>
      </c>
      <c r="D51" s="33">
        <f>SUMIFS(database!L:L,database!F:F,calc!$C$49,database!J:J,calc!C51,database!B:B,Dashboard!#REF!)</f>
        <v>0</v>
      </c>
      <c r="E51" s="34" t="e">
        <f>D51/$D$69</f>
        <v>#DIV/0!</v>
      </c>
      <c r="F51" s="35">
        <f>SUMIFS(database!M:M,database!F:F,calc!$C$49,database!J:J,calc!C51,database!B:B,Dashboard!#REF!)</f>
        <v>0</v>
      </c>
      <c r="G51" s="34" t="e">
        <f>F51/$F$69</f>
        <v>#DIV/0!</v>
      </c>
      <c r="H51" s="32"/>
      <c r="I51" s="33"/>
      <c r="J51" s="45">
        <f>IFERROR(D51/D5,"")</f>
        <v>0</v>
      </c>
      <c r="K51" s="26" t="str">
        <f>IFERROR(J51/$J$69,"")</f>
        <v/>
      </c>
      <c r="L51" s="24">
        <f>IFERROR(F51/D5,"")</f>
        <v>0</v>
      </c>
      <c r="M51" s="26" t="str">
        <f>IFERROR(L51/$L$69,"")</f>
        <v/>
      </c>
    </row>
    <row r="52" spans="2:13" x14ac:dyDescent="0.55000000000000004">
      <c r="B52" s="31"/>
      <c r="C52" s="47" t="s">
        <v>171</v>
      </c>
      <c r="D52" s="33">
        <f>SUMIFS(database!L:L,database!F:F,calc!$C$49,database!J:J,calc!C52,database!B:B,Dashboard!#REF!)</f>
        <v>0</v>
      </c>
      <c r="E52" s="34" t="e">
        <f t="shared" ref="E52:E68" si="7">D52/$D$69</f>
        <v>#DIV/0!</v>
      </c>
      <c r="F52" s="35">
        <f>SUMIFS(database!M:M,database!F:F,calc!$C$49,database!J:J,calc!C52,database!B:B,Dashboard!#REF!)</f>
        <v>0</v>
      </c>
      <c r="G52" s="34" t="e">
        <f t="shared" ref="G52:G68" si="8">F52/$F$69</f>
        <v>#DIV/0!</v>
      </c>
      <c r="H52" s="32"/>
      <c r="I52" s="33"/>
      <c r="J52" s="45">
        <f>IFERROR(D52/D6,"")</f>
        <v>0</v>
      </c>
      <c r="K52" s="26" t="str">
        <f t="shared" ref="K52:K68" si="9">IFERROR(J52/$J$69,"")</f>
        <v/>
      </c>
      <c r="L52" s="24">
        <f>IFERROR(F52/D6,"")</f>
        <v>0</v>
      </c>
      <c r="M52" s="26" t="str">
        <f t="shared" ref="M52:M68" si="10">IFERROR(L52/$L$69,"")</f>
        <v/>
      </c>
    </row>
    <row r="53" spans="2:13" x14ac:dyDescent="0.55000000000000004">
      <c r="B53" s="31"/>
      <c r="C53" s="47" t="s">
        <v>172</v>
      </c>
      <c r="D53" s="33">
        <f>SUMIFS(database!L:L,database!F:F,calc!$C$49,database!J:J,calc!C53,database!B:B,Dashboard!#REF!)</f>
        <v>0</v>
      </c>
      <c r="E53" s="34" t="e">
        <f t="shared" si="7"/>
        <v>#DIV/0!</v>
      </c>
      <c r="F53" s="35">
        <f>SUMIFS(database!M:M,database!F:F,calc!$C$49,database!J:J,calc!C53,database!B:B,Dashboard!#REF!)</f>
        <v>0</v>
      </c>
      <c r="G53" s="34" t="e">
        <f t="shared" si="8"/>
        <v>#DIV/0!</v>
      </c>
      <c r="H53" s="32"/>
      <c r="I53" s="33"/>
      <c r="J53" s="45" t="str">
        <f>IFERROR(D53/D7,"")</f>
        <v/>
      </c>
      <c r="K53" s="26" t="str">
        <f t="shared" si="9"/>
        <v/>
      </c>
      <c r="L53" s="24" t="str">
        <f>IFERROR(F53/D7,"")</f>
        <v/>
      </c>
      <c r="M53" s="26" t="str">
        <f t="shared" si="10"/>
        <v/>
      </c>
    </row>
    <row r="54" spans="2:13" x14ac:dyDescent="0.55000000000000004">
      <c r="B54" s="31"/>
      <c r="C54" s="47" t="s">
        <v>173</v>
      </c>
      <c r="D54" s="33">
        <f>SUMIFS(database!L:L,database!F:F,calc!$C$49,database!J:J,calc!C54,database!B:B,Dashboard!#REF!)</f>
        <v>0</v>
      </c>
      <c r="E54" s="34" t="e">
        <f t="shared" si="7"/>
        <v>#DIV/0!</v>
      </c>
      <c r="F54" s="35">
        <f>SUMIFS(database!M:M,database!F:F,calc!$C$49,database!J:J,calc!C54,database!B:B,Dashboard!#REF!)</f>
        <v>0</v>
      </c>
      <c r="G54" s="34" t="e">
        <f t="shared" si="8"/>
        <v>#DIV/0!</v>
      </c>
      <c r="H54" s="32"/>
      <c r="I54" s="33"/>
      <c r="J54" s="45">
        <f>IFERROR(D54/D8,"")</f>
        <v>0</v>
      </c>
      <c r="K54" s="26" t="str">
        <f t="shared" si="9"/>
        <v/>
      </c>
      <c r="L54" s="24">
        <f>IFERROR(F54/D8,"")</f>
        <v>0</v>
      </c>
      <c r="M54" s="26" t="str">
        <f t="shared" si="10"/>
        <v/>
      </c>
    </row>
    <row r="55" spans="2:13" x14ac:dyDescent="0.55000000000000004">
      <c r="B55" s="31"/>
      <c r="C55" s="47" t="s">
        <v>174</v>
      </c>
      <c r="D55" s="33">
        <f>SUMIFS(database!L:L,database!F:F,calc!$C$49,database!J:J,calc!C55,database!B:B,Dashboard!#REF!)</f>
        <v>0</v>
      </c>
      <c r="E55" s="34" t="e">
        <f t="shared" si="7"/>
        <v>#DIV/0!</v>
      </c>
      <c r="F55" s="35">
        <f>SUMIFS(database!M:M,database!F:F,calc!$C$49,database!J:J,calc!C55,database!B:B,Dashboard!#REF!)</f>
        <v>0</v>
      </c>
      <c r="G55" s="34" t="e">
        <f t="shared" si="8"/>
        <v>#DIV/0!</v>
      </c>
      <c r="H55" s="32"/>
      <c r="I55" s="33"/>
      <c r="J55" s="45" t="str">
        <f>IFERROR(D55/D9,"")</f>
        <v/>
      </c>
      <c r="K55" s="26" t="str">
        <f t="shared" si="9"/>
        <v/>
      </c>
      <c r="L55" s="24" t="str">
        <f>IFERROR(F55/D9,"")</f>
        <v/>
      </c>
      <c r="M55" s="26" t="str">
        <f t="shared" si="10"/>
        <v/>
      </c>
    </row>
    <row r="56" spans="2:13" x14ac:dyDescent="0.55000000000000004">
      <c r="B56" s="31"/>
      <c r="C56" s="47" t="s">
        <v>175</v>
      </c>
      <c r="D56" s="33">
        <f>SUMIFS(database!L:L,database!F:F,calc!$C$49,database!J:J,calc!C56,database!B:B,Dashboard!#REF!)</f>
        <v>0</v>
      </c>
      <c r="E56" s="34" t="e">
        <f t="shared" si="7"/>
        <v>#DIV/0!</v>
      </c>
      <c r="F56" s="35">
        <f>SUMIFS(database!M:M,database!F:F,calc!$C$49,database!J:J,calc!C56,database!B:B,Dashboard!#REF!)</f>
        <v>0</v>
      </c>
      <c r="G56" s="34" t="e">
        <f t="shared" si="8"/>
        <v>#DIV/0!</v>
      </c>
      <c r="H56" s="32"/>
      <c r="I56" s="33"/>
      <c r="J56" s="45">
        <f>IFERROR(D56/D10,"")</f>
        <v>0</v>
      </c>
      <c r="K56" s="26" t="str">
        <f t="shared" si="9"/>
        <v/>
      </c>
      <c r="L56" s="24">
        <f>IFERROR(F56/D10,"")</f>
        <v>0</v>
      </c>
      <c r="M56" s="26" t="str">
        <f t="shared" si="10"/>
        <v/>
      </c>
    </row>
    <row r="57" spans="2:13" x14ac:dyDescent="0.55000000000000004">
      <c r="B57" s="31"/>
      <c r="C57" s="47" t="s">
        <v>197</v>
      </c>
      <c r="D57" s="33">
        <f>SUMIFS(database!L:L,database!F:F,calc!$C$49,database!J:J,calc!C57,database!B:B,Dashboard!#REF!)</f>
        <v>0</v>
      </c>
      <c r="E57" s="34" t="e">
        <f t="shared" si="7"/>
        <v>#DIV/0!</v>
      </c>
      <c r="F57" s="35">
        <f>SUMIFS(database!M:M,database!F:F,calc!$C$49,database!J:J,calc!C57,database!B:B,Dashboard!#REF!)</f>
        <v>0</v>
      </c>
      <c r="G57" s="34" t="e">
        <f t="shared" si="8"/>
        <v>#DIV/0!</v>
      </c>
      <c r="H57" s="32"/>
      <c r="I57" s="33"/>
      <c r="J57" s="45">
        <f>IFERROR(D57/D11,"")</f>
        <v>0</v>
      </c>
      <c r="K57" s="26" t="str">
        <f t="shared" si="9"/>
        <v/>
      </c>
      <c r="L57" s="24">
        <f>IFERROR(F57/D11,"")</f>
        <v>0</v>
      </c>
      <c r="M57" s="26" t="str">
        <f t="shared" si="10"/>
        <v/>
      </c>
    </row>
    <row r="58" spans="2:13" x14ac:dyDescent="0.55000000000000004">
      <c r="B58" s="31"/>
      <c r="C58" s="47" t="s">
        <v>176</v>
      </c>
      <c r="D58" s="33">
        <f>SUMIFS(database!L:L,database!F:F,calc!$C$49,database!J:J,calc!C58,database!B:B,Dashboard!#REF!)</f>
        <v>0</v>
      </c>
      <c r="E58" s="34" t="e">
        <f t="shared" si="7"/>
        <v>#DIV/0!</v>
      </c>
      <c r="F58" s="35">
        <f>SUMIFS(database!M:M,database!F:F,calc!$C$49,database!J:J,calc!C58,database!B:B,Dashboard!#REF!)</f>
        <v>0</v>
      </c>
      <c r="G58" s="34" t="e">
        <f t="shared" si="8"/>
        <v>#DIV/0!</v>
      </c>
      <c r="H58" s="32"/>
      <c r="I58" s="33"/>
      <c r="J58" s="45" t="str">
        <f>IFERROR(D58/D12,"")</f>
        <v/>
      </c>
      <c r="K58" s="26" t="str">
        <f t="shared" si="9"/>
        <v/>
      </c>
      <c r="L58" s="24" t="str">
        <f>IFERROR(F58/D12,"")</f>
        <v/>
      </c>
      <c r="M58" s="26" t="str">
        <f t="shared" si="10"/>
        <v/>
      </c>
    </row>
    <row r="59" spans="2:13" x14ac:dyDescent="0.55000000000000004">
      <c r="B59" s="31"/>
      <c r="C59" s="47" t="s">
        <v>177</v>
      </c>
      <c r="D59" s="33">
        <f>SUMIFS(database!L:L,database!F:F,calc!$C$49,database!J:J,calc!C59,database!B:B,Dashboard!#REF!)</f>
        <v>0</v>
      </c>
      <c r="E59" s="34" t="e">
        <f t="shared" si="7"/>
        <v>#DIV/0!</v>
      </c>
      <c r="F59" s="35">
        <f>SUMIFS(database!M:M,database!F:F,calc!$C$49,database!J:J,calc!C59,database!B:B,Dashboard!#REF!)</f>
        <v>0</v>
      </c>
      <c r="G59" s="34" t="e">
        <f t="shared" si="8"/>
        <v>#DIV/0!</v>
      </c>
      <c r="H59" s="32"/>
      <c r="I59" s="33"/>
      <c r="J59" s="45">
        <f>IFERROR(D59/D13,"")</f>
        <v>0</v>
      </c>
      <c r="K59" s="26" t="str">
        <f t="shared" si="9"/>
        <v/>
      </c>
      <c r="L59" s="24">
        <f>IFERROR(F59/D13,"")</f>
        <v>0</v>
      </c>
      <c r="M59" s="26" t="str">
        <f t="shared" si="10"/>
        <v/>
      </c>
    </row>
    <row r="60" spans="2:13" x14ac:dyDescent="0.55000000000000004">
      <c r="B60" s="31"/>
      <c r="C60" s="47" t="s">
        <v>178</v>
      </c>
      <c r="D60" s="33">
        <f>SUMIFS(database!L:L,database!F:F,calc!$C$49,database!J:J,calc!C60,database!B:B,Dashboard!#REF!)</f>
        <v>0</v>
      </c>
      <c r="E60" s="34" t="e">
        <f t="shared" si="7"/>
        <v>#DIV/0!</v>
      </c>
      <c r="F60" s="35">
        <f>SUMIFS(database!M:M,database!F:F,calc!$C$49,database!J:J,calc!C60,database!B:B,Dashboard!#REF!)</f>
        <v>0</v>
      </c>
      <c r="G60" s="34" t="e">
        <f t="shared" si="8"/>
        <v>#DIV/0!</v>
      </c>
      <c r="H60" s="32"/>
      <c r="I60" s="33"/>
      <c r="J60" s="45" t="str">
        <f>IFERROR(D60/D14,"")</f>
        <v/>
      </c>
      <c r="K60" s="26" t="str">
        <f t="shared" si="9"/>
        <v/>
      </c>
      <c r="L60" s="24" t="str">
        <f>IFERROR(F60/D14,"")</f>
        <v/>
      </c>
      <c r="M60" s="26" t="str">
        <f t="shared" si="10"/>
        <v/>
      </c>
    </row>
    <row r="61" spans="2:13" x14ac:dyDescent="0.55000000000000004">
      <c r="B61" s="31"/>
      <c r="C61" s="47" t="s">
        <v>179</v>
      </c>
      <c r="D61" s="33">
        <f>SUMIFS(database!L:L,database!F:F,calc!$C$49,database!J:J,calc!C61,database!B:B,Dashboard!#REF!)</f>
        <v>0</v>
      </c>
      <c r="E61" s="34" t="e">
        <f t="shared" si="7"/>
        <v>#DIV/0!</v>
      </c>
      <c r="F61" s="35">
        <f>SUMIFS(database!M:M,database!F:F,calc!$C$49,database!J:J,calc!C61,database!B:B,Dashboard!#REF!)</f>
        <v>0</v>
      </c>
      <c r="G61" s="34" t="e">
        <f t="shared" si="8"/>
        <v>#DIV/0!</v>
      </c>
      <c r="H61" s="32"/>
      <c r="I61" s="33"/>
      <c r="J61" s="45">
        <f>IFERROR(D61/D15,"")</f>
        <v>0</v>
      </c>
      <c r="K61" s="26" t="str">
        <f t="shared" si="9"/>
        <v/>
      </c>
      <c r="L61" s="24">
        <f>IFERROR(F61/D15,"")</f>
        <v>0</v>
      </c>
      <c r="M61" s="26" t="str">
        <f t="shared" si="10"/>
        <v/>
      </c>
    </row>
    <row r="62" spans="2:13" x14ac:dyDescent="0.55000000000000004">
      <c r="B62" s="31"/>
      <c r="C62" s="47" t="s">
        <v>180</v>
      </c>
      <c r="D62" s="33">
        <f>SUMIFS(database!L:L,database!F:F,calc!$C$49,database!J:J,calc!C62,database!B:B,Dashboard!#REF!)</f>
        <v>0</v>
      </c>
      <c r="E62" s="34" t="e">
        <f t="shared" si="7"/>
        <v>#DIV/0!</v>
      </c>
      <c r="F62" s="35">
        <f>SUMIFS(database!M:M,database!F:F,calc!$C$49,database!J:J,calc!C62,database!B:B,Dashboard!#REF!)</f>
        <v>0</v>
      </c>
      <c r="G62" s="34" t="e">
        <f t="shared" si="8"/>
        <v>#DIV/0!</v>
      </c>
      <c r="H62" s="32"/>
      <c r="I62" s="33"/>
      <c r="J62" s="45">
        <f>IFERROR(D62/D16,"")</f>
        <v>0</v>
      </c>
      <c r="K62" s="26" t="str">
        <f t="shared" si="9"/>
        <v/>
      </c>
      <c r="L62" s="24">
        <f>IFERROR(F62/D16,"")</f>
        <v>0</v>
      </c>
      <c r="M62" s="26" t="str">
        <f t="shared" si="10"/>
        <v/>
      </c>
    </row>
    <row r="63" spans="2:13" x14ac:dyDescent="0.55000000000000004">
      <c r="B63" s="31"/>
      <c r="C63" s="47" t="s">
        <v>181</v>
      </c>
      <c r="D63" s="33">
        <f>SUMIFS(database!L:L,database!F:F,calc!$C$49,database!J:J,calc!C63,database!B:B,Dashboard!#REF!)</f>
        <v>0</v>
      </c>
      <c r="E63" s="34" t="e">
        <f t="shared" si="7"/>
        <v>#DIV/0!</v>
      </c>
      <c r="F63" s="35">
        <f>SUMIFS(database!M:M,database!F:F,calc!$C$49,database!J:J,calc!C63,database!B:B,Dashboard!#REF!)</f>
        <v>0</v>
      </c>
      <c r="G63" s="34" t="e">
        <f t="shared" si="8"/>
        <v>#DIV/0!</v>
      </c>
      <c r="H63" s="32"/>
      <c r="I63" s="33"/>
      <c r="J63" s="45">
        <f>IFERROR(D63/D17,"")</f>
        <v>0</v>
      </c>
      <c r="K63" s="26" t="str">
        <f t="shared" si="9"/>
        <v/>
      </c>
      <c r="L63" s="24">
        <f>IFERROR(F63/D17,"")</f>
        <v>0</v>
      </c>
      <c r="M63" s="26" t="str">
        <f t="shared" si="10"/>
        <v/>
      </c>
    </row>
    <row r="64" spans="2:13" x14ac:dyDescent="0.55000000000000004">
      <c r="B64" s="31"/>
      <c r="C64" s="47" t="s">
        <v>182</v>
      </c>
      <c r="D64" s="33">
        <f>SUMIFS(database!L:L,database!F:F,calc!$C$49,database!J:J,calc!C64,database!B:B,Dashboard!#REF!)</f>
        <v>0</v>
      </c>
      <c r="E64" s="34" t="e">
        <f t="shared" si="7"/>
        <v>#DIV/0!</v>
      </c>
      <c r="F64" s="35">
        <f>SUMIFS(database!M:M,database!F:F,calc!$C$49,database!J:J,calc!C64,database!B:B,Dashboard!#REF!)</f>
        <v>0</v>
      </c>
      <c r="G64" s="34" t="e">
        <f t="shared" si="8"/>
        <v>#DIV/0!</v>
      </c>
      <c r="H64" s="32"/>
      <c r="I64" s="33"/>
      <c r="J64" s="45">
        <f>IFERROR(D64/D18,"")</f>
        <v>0</v>
      </c>
      <c r="K64" s="26" t="str">
        <f t="shared" si="9"/>
        <v/>
      </c>
      <c r="L64" s="24">
        <f>IFERROR(F64/D18,"")</f>
        <v>0</v>
      </c>
      <c r="M64" s="26" t="str">
        <f t="shared" si="10"/>
        <v/>
      </c>
    </row>
    <row r="65" spans="2:13" x14ac:dyDescent="0.55000000000000004">
      <c r="B65" s="31"/>
      <c r="C65" s="47" t="s">
        <v>183</v>
      </c>
      <c r="D65" s="33">
        <f>SUMIFS(database!L:L,database!F:F,calc!$C$49,database!J:J,calc!C65,database!B:B,Dashboard!#REF!)</f>
        <v>0</v>
      </c>
      <c r="E65" s="34" t="e">
        <f t="shared" si="7"/>
        <v>#DIV/0!</v>
      </c>
      <c r="F65" s="35">
        <f>SUMIFS(database!M:M,database!F:F,calc!$C$49,database!J:J,calc!C65,database!B:B,Dashboard!#REF!)</f>
        <v>0</v>
      </c>
      <c r="G65" s="34" t="e">
        <f t="shared" si="8"/>
        <v>#DIV/0!</v>
      </c>
      <c r="H65" s="32"/>
      <c r="I65" s="33"/>
      <c r="J65" s="45" t="str">
        <f>IFERROR(D65/D19,"")</f>
        <v/>
      </c>
      <c r="K65" s="26" t="str">
        <f t="shared" si="9"/>
        <v/>
      </c>
      <c r="L65" s="24" t="str">
        <f>IFERROR(F65/D19,"")</f>
        <v/>
      </c>
      <c r="M65" s="26" t="str">
        <f t="shared" si="10"/>
        <v/>
      </c>
    </row>
    <row r="66" spans="2:13" x14ac:dyDescent="0.55000000000000004">
      <c r="B66" s="31"/>
      <c r="C66" s="47" t="s">
        <v>184</v>
      </c>
      <c r="D66" s="33">
        <f>SUMIFS(database!L:L,database!F:F,calc!$C$49,database!J:J,calc!C66,database!B:B,Dashboard!#REF!)</f>
        <v>0</v>
      </c>
      <c r="E66" s="34" t="e">
        <f t="shared" si="7"/>
        <v>#DIV/0!</v>
      </c>
      <c r="F66" s="35">
        <f>SUMIFS(database!M:M,database!F:F,calc!$C$49,database!J:J,calc!C66,database!B:B,Dashboard!#REF!)</f>
        <v>0</v>
      </c>
      <c r="G66" s="34" t="e">
        <f t="shared" si="8"/>
        <v>#DIV/0!</v>
      </c>
      <c r="H66" s="32"/>
      <c r="I66" s="33"/>
      <c r="J66" s="45" t="str">
        <f>IFERROR(D66/D20,"")</f>
        <v/>
      </c>
      <c r="K66" s="26" t="str">
        <f t="shared" si="9"/>
        <v/>
      </c>
      <c r="L66" s="24" t="str">
        <f>IFERROR(F66/D20,"")</f>
        <v/>
      </c>
      <c r="M66" s="26" t="str">
        <f t="shared" si="10"/>
        <v/>
      </c>
    </row>
    <row r="67" spans="2:13" x14ac:dyDescent="0.55000000000000004">
      <c r="B67" s="31"/>
      <c r="C67" s="47" t="s">
        <v>185</v>
      </c>
      <c r="D67" s="33">
        <f>SUMIFS(database!L:L,database!F:F,calc!$C$49,database!J:J,calc!C67,database!B:B,Dashboard!#REF!)</f>
        <v>0</v>
      </c>
      <c r="E67" s="34" t="e">
        <f t="shared" si="7"/>
        <v>#DIV/0!</v>
      </c>
      <c r="F67" s="35">
        <f>SUMIFS(database!M:M,database!F:F,calc!$C$49,database!J:J,calc!C67,database!B:B,Dashboard!#REF!)</f>
        <v>0</v>
      </c>
      <c r="G67" s="34" t="e">
        <f t="shared" si="8"/>
        <v>#DIV/0!</v>
      </c>
      <c r="H67" s="32"/>
      <c r="I67" s="33"/>
      <c r="J67" s="45">
        <f>IFERROR(D67/D21,"")</f>
        <v>0</v>
      </c>
      <c r="K67" s="26" t="str">
        <f t="shared" si="9"/>
        <v/>
      </c>
      <c r="L67" s="24">
        <f>IFERROR(F67/D21,"")</f>
        <v>0</v>
      </c>
      <c r="M67" s="26" t="str">
        <f t="shared" si="10"/>
        <v/>
      </c>
    </row>
    <row r="68" spans="2:13" x14ac:dyDescent="0.55000000000000004">
      <c r="B68" s="31"/>
      <c r="C68" s="47" t="s">
        <v>169</v>
      </c>
      <c r="D68" s="33">
        <f>SUMIFS(database!L:L,database!F:F,calc!$C$49,database!J:J,calc!C68,database!B:B,Dashboard!#REF!)</f>
        <v>0</v>
      </c>
      <c r="E68" s="34" t="e">
        <f t="shared" si="7"/>
        <v>#DIV/0!</v>
      </c>
      <c r="F68" s="35">
        <f>SUMIFS(database!M:M,database!F:F,calc!$C$49,database!J:J,calc!C68,database!B:B,Dashboard!#REF!)</f>
        <v>0</v>
      </c>
      <c r="G68" s="34" t="e">
        <f t="shared" si="8"/>
        <v>#DIV/0!</v>
      </c>
      <c r="H68" s="32"/>
      <c r="I68" s="33"/>
      <c r="J68" s="45" t="str">
        <f>IFERROR(D68/D22,"")</f>
        <v/>
      </c>
      <c r="K68" s="26" t="str">
        <f t="shared" si="9"/>
        <v/>
      </c>
      <c r="L68" s="24" t="str">
        <f>IFERROR(F68/D22,"")</f>
        <v/>
      </c>
      <c r="M68" s="26" t="str">
        <f t="shared" si="10"/>
        <v/>
      </c>
    </row>
    <row r="69" spans="2:13" ht="24" x14ac:dyDescent="0.55000000000000004">
      <c r="B69" s="31"/>
      <c r="C69" s="21" t="s">
        <v>136</v>
      </c>
      <c r="D69" s="21">
        <f>SUM(D51:D68)</f>
        <v>0</v>
      </c>
      <c r="E69" s="23" t="e">
        <f>SUM(E51:E68)</f>
        <v>#DIV/0!</v>
      </c>
      <c r="F69" s="25">
        <f>SUM(F51:F68)</f>
        <v>0</v>
      </c>
      <c r="G69" s="23" t="e">
        <f>SUM(G51:G68)</f>
        <v>#DIV/0!</v>
      </c>
      <c r="H69" s="32"/>
      <c r="I69" s="33"/>
      <c r="J69" s="46">
        <f>SUM(J51:J68)</f>
        <v>0</v>
      </c>
      <c r="K69" s="23">
        <f>SUM(K51:K68)</f>
        <v>0</v>
      </c>
      <c r="L69" s="25">
        <f>SUM(L51:L68)</f>
        <v>0</v>
      </c>
      <c r="M69" s="23">
        <f>SUM(M51:M68)</f>
        <v>0</v>
      </c>
    </row>
    <row r="70" spans="2:13" x14ac:dyDescent="0.55000000000000004">
      <c r="B70" s="31"/>
      <c r="C70" s="33"/>
      <c r="D70" s="33"/>
      <c r="E70" s="33"/>
      <c r="F70" s="33"/>
      <c r="G70" s="33"/>
      <c r="H70" s="32"/>
      <c r="I70" s="33"/>
    </row>
    <row r="71" spans="2:13" x14ac:dyDescent="0.55000000000000004">
      <c r="B71" s="31"/>
      <c r="C71" s="33"/>
      <c r="D71" s="33"/>
      <c r="E71" s="33"/>
      <c r="F71" s="33"/>
      <c r="G71" s="33"/>
      <c r="H71" s="32"/>
      <c r="I71" s="33"/>
    </row>
    <row r="72" spans="2:13" ht="26.25" x14ac:dyDescent="0.55000000000000004">
      <c r="B72" s="31"/>
      <c r="C72" s="52" t="s">
        <v>4</v>
      </c>
      <c r="D72" s="52"/>
      <c r="E72" s="52"/>
      <c r="F72" s="52"/>
      <c r="G72" s="52"/>
      <c r="H72" s="32"/>
      <c r="I72" s="33"/>
    </row>
    <row r="73" spans="2:13" ht="24" x14ac:dyDescent="0.55000000000000004">
      <c r="B73" s="31"/>
      <c r="C73" s="8" t="s">
        <v>96</v>
      </c>
      <c r="D73" s="8" t="s">
        <v>159</v>
      </c>
      <c r="E73" s="8" t="s">
        <v>160</v>
      </c>
      <c r="F73" s="8" t="s">
        <v>115</v>
      </c>
      <c r="G73" s="8" t="s">
        <v>116</v>
      </c>
      <c r="H73" s="32"/>
      <c r="I73" s="33"/>
      <c r="J73" s="8" t="s">
        <v>163</v>
      </c>
      <c r="K73" s="8" t="s">
        <v>164</v>
      </c>
      <c r="L73" s="8" t="s">
        <v>165</v>
      </c>
      <c r="M73" s="8" t="s">
        <v>166</v>
      </c>
    </row>
    <row r="74" spans="2:13" x14ac:dyDescent="0.55000000000000004">
      <c r="B74" s="31"/>
      <c r="C74" s="47" t="s">
        <v>189</v>
      </c>
      <c r="D74" s="33">
        <f>SUMIFS(database!L:L,database!F:F,calc!$C$72,database!J:J,calc!C74,database!B:B,Dashboard!#REF!)</f>
        <v>0</v>
      </c>
      <c r="E74" s="34" t="e">
        <f>D74/$D$82</f>
        <v>#DIV/0!</v>
      </c>
      <c r="F74" s="35">
        <f>SUMIFS(database!M:M,database!F:F,calc!$C$72,database!J:J,calc!C74,database!B:B,Dashboard!#REF!)</f>
        <v>0</v>
      </c>
      <c r="G74" s="34" t="e">
        <f>F74/$F$82</f>
        <v>#DIV/0!</v>
      </c>
      <c r="H74" s="32"/>
      <c r="I74" s="33"/>
      <c r="J74" s="45" t="str">
        <f>IFERROR(D74/D28,"")</f>
        <v/>
      </c>
      <c r="K74" s="26" t="str">
        <f>IFERROR(J74/$J$82,"")</f>
        <v/>
      </c>
      <c r="L74" s="24" t="str">
        <f>IFERROR(F74/D28,"")</f>
        <v/>
      </c>
      <c r="M74" s="26" t="str">
        <f>IFERROR(L74/$L$82,"")</f>
        <v/>
      </c>
    </row>
    <row r="75" spans="2:13" x14ac:dyDescent="0.55000000000000004">
      <c r="B75" s="31"/>
      <c r="C75" s="47" t="s">
        <v>190</v>
      </c>
      <c r="D75" s="33">
        <f>SUMIFS(database!L:L,database!F:F,calc!$C$72,database!J:J,calc!C75,database!B:B,Dashboard!#REF!)</f>
        <v>0</v>
      </c>
      <c r="E75" s="34" t="e">
        <f t="shared" ref="E75:E81" si="11">D75/$D$82</f>
        <v>#DIV/0!</v>
      </c>
      <c r="F75" s="35">
        <f>SUMIFS(database!M:M,database!F:F,calc!$C$72,database!J:J,calc!C75,database!B:B,Dashboard!#REF!)</f>
        <v>0</v>
      </c>
      <c r="G75" s="34" t="e">
        <f t="shared" ref="G75:G81" si="12">F75/$F$82</f>
        <v>#DIV/0!</v>
      </c>
      <c r="H75" s="32"/>
      <c r="I75" s="33"/>
      <c r="J75" s="45" t="str">
        <f>IFERROR(D75/D29,"")</f>
        <v/>
      </c>
      <c r="K75" s="26" t="str">
        <f t="shared" ref="K75:K81" si="13">IFERROR(J75/$J$82,"")</f>
        <v/>
      </c>
      <c r="L75" s="24" t="str">
        <f>IFERROR(F75/D29,"")</f>
        <v/>
      </c>
      <c r="M75" s="26" t="str">
        <f t="shared" ref="M75:M81" si="14">IFERROR(L75/$L$82,"")</f>
        <v/>
      </c>
    </row>
    <row r="76" spans="2:13" x14ac:dyDescent="0.55000000000000004">
      <c r="B76" s="31"/>
      <c r="C76" s="47" t="s">
        <v>191</v>
      </c>
      <c r="D76" s="33">
        <f>SUMIFS(database!L:L,database!F:F,calc!$C$72,database!J:J,calc!C76,database!B:B,Dashboard!#REF!)</f>
        <v>0</v>
      </c>
      <c r="E76" s="34" t="e">
        <f t="shared" si="11"/>
        <v>#DIV/0!</v>
      </c>
      <c r="F76" s="35">
        <f>SUMIFS(database!M:M,database!F:F,calc!$C$72,database!J:J,calc!C76,database!B:B,Dashboard!#REF!)</f>
        <v>0</v>
      </c>
      <c r="G76" s="34" t="e">
        <f t="shared" si="12"/>
        <v>#DIV/0!</v>
      </c>
      <c r="H76" s="32"/>
      <c r="I76" s="33"/>
      <c r="J76" s="45" t="str">
        <f>IFERROR(D76/D30,"")</f>
        <v/>
      </c>
      <c r="K76" s="26" t="str">
        <f t="shared" si="13"/>
        <v/>
      </c>
      <c r="L76" s="24" t="str">
        <f>IFERROR(F76/D30,"")</f>
        <v/>
      </c>
      <c r="M76" s="26" t="str">
        <f t="shared" si="14"/>
        <v/>
      </c>
    </row>
    <row r="77" spans="2:13" x14ac:dyDescent="0.55000000000000004">
      <c r="B77" s="31"/>
      <c r="C77" s="47" t="s">
        <v>192</v>
      </c>
      <c r="D77" s="33">
        <f>SUMIFS(database!L:L,database!F:F,calc!$C$72,database!J:J,calc!C77,database!B:B,Dashboard!#REF!)</f>
        <v>0</v>
      </c>
      <c r="E77" s="34" t="e">
        <f t="shared" si="11"/>
        <v>#DIV/0!</v>
      </c>
      <c r="F77" s="35">
        <f>SUMIFS(database!M:M,database!F:F,calc!$C$72,database!J:J,calc!C77,database!B:B,Dashboard!#REF!)</f>
        <v>0</v>
      </c>
      <c r="G77" s="34" t="e">
        <f t="shared" si="12"/>
        <v>#DIV/0!</v>
      </c>
      <c r="H77" s="32"/>
      <c r="I77" s="33"/>
      <c r="J77" s="45" t="str">
        <f>IFERROR(D77/D31,"")</f>
        <v/>
      </c>
      <c r="K77" s="26" t="str">
        <f t="shared" si="13"/>
        <v/>
      </c>
      <c r="L77" s="24" t="str">
        <f>IFERROR(F77/D31,"")</f>
        <v/>
      </c>
      <c r="M77" s="26" t="str">
        <f t="shared" si="14"/>
        <v/>
      </c>
    </row>
    <row r="78" spans="2:13" x14ac:dyDescent="0.55000000000000004">
      <c r="B78" s="31"/>
      <c r="C78" s="47" t="s">
        <v>193</v>
      </c>
      <c r="D78" s="33">
        <f>SUMIFS(database!L:L,database!F:F,calc!$C$72,database!J:J,calc!C78,database!B:B,Dashboard!#REF!)</f>
        <v>0</v>
      </c>
      <c r="E78" s="34" t="e">
        <f t="shared" si="11"/>
        <v>#DIV/0!</v>
      </c>
      <c r="F78" s="35">
        <f>SUMIFS(database!M:M,database!F:F,calc!$C$72,database!J:J,calc!C78,database!B:B,Dashboard!#REF!)</f>
        <v>0</v>
      </c>
      <c r="G78" s="34" t="e">
        <f t="shared" si="12"/>
        <v>#DIV/0!</v>
      </c>
      <c r="H78" s="32"/>
      <c r="I78" s="33"/>
      <c r="J78" s="45">
        <f>IFERROR(D78/D32,"")</f>
        <v>0</v>
      </c>
      <c r="K78" s="26" t="str">
        <f t="shared" si="13"/>
        <v/>
      </c>
      <c r="L78" s="24">
        <f>IFERROR(F78/D32,"")</f>
        <v>0</v>
      </c>
      <c r="M78" s="26" t="str">
        <f t="shared" si="14"/>
        <v/>
      </c>
    </row>
    <row r="79" spans="2:13" x14ac:dyDescent="0.55000000000000004">
      <c r="B79" s="31"/>
      <c r="C79" s="47" t="s">
        <v>196</v>
      </c>
      <c r="D79" s="33">
        <f>SUMIFS(database!L:L,database!F:F,calc!$C$72,database!J:J,calc!C79,database!B:B,Dashboard!#REF!)</f>
        <v>0</v>
      </c>
      <c r="E79" s="34" t="e">
        <f t="shared" si="11"/>
        <v>#DIV/0!</v>
      </c>
      <c r="F79" s="35">
        <f>SUMIFS(database!M:M,database!F:F,calc!$C$72,database!J:J,calc!C79,database!B:B,Dashboard!#REF!)</f>
        <v>0</v>
      </c>
      <c r="G79" s="34" t="e">
        <f t="shared" si="12"/>
        <v>#DIV/0!</v>
      </c>
      <c r="H79" s="32"/>
      <c r="I79" s="33"/>
      <c r="J79" s="45" t="str">
        <f>IFERROR(D79/D33,"")</f>
        <v/>
      </c>
      <c r="K79" s="26" t="str">
        <f t="shared" si="13"/>
        <v/>
      </c>
      <c r="L79" s="24" t="str">
        <f>IFERROR(F79/D33,"")</f>
        <v/>
      </c>
      <c r="M79" s="26" t="str">
        <f t="shared" si="14"/>
        <v/>
      </c>
    </row>
    <row r="80" spans="2:13" x14ac:dyDescent="0.55000000000000004">
      <c r="B80" s="31"/>
      <c r="C80" s="47" t="s">
        <v>194</v>
      </c>
      <c r="D80" s="33">
        <f>SUMIFS(database!L:L,database!F:F,calc!$C$72,database!J:J,calc!C80,database!B:B,Dashboard!#REF!)</f>
        <v>0</v>
      </c>
      <c r="E80" s="34" t="e">
        <f t="shared" si="11"/>
        <v>#DIV/0!</v>
      </c>
      <c r="F80" s="35">
        <f>SUMIFS(database!M:M,database!F:F,calc!$C$72,database!J:J,calc!C80,database!B:B,Dashboard!#REF!)</f>
        <v>0</v>
      </c>
      <c r="G80" s="34" t="e">
        <f t="shared" si="12"/>
        <v>#DIV/0!</v>
      </c>
      <c r="H80" s="32"/>
      <c r="I80" s="33"/>
      <c r="J80" s="45">
        <f>IFERROR(D80/D34,"")</f>
        <v>0</v>
      </c>
      <c r="K80" s="26" t="str">
        <f t="shared" si="13"/>
        <v/>
      </c>
      <c r="L80" s="24">
        <f>IFERROR(F80/D34,"")</f>
        <v>0</v>
      </c>
      <c r="M80" s="26" t="str">
        <f t="shared" si="14"/>
        <v/>
      </c>
    </row>
    <row r="81" spans="2:13" x14ac:dyDescent="0.55000000000000004">
      <c r="B81" s="31"/>
      <c r="C81" s="47" t="s">
        <v>195</v>
      </c>
      <c r="D81" s="33">
        <f>SUMIFS(database!L:L,database!F:F,calc!$C$72,database!J:J,calc!C81,database!B:B,Dashboard!#REF!)</f>
        <v>0</v>
      </c>
      <c r="E81" s="34" t="e">
        <f t="shared" si="11"/>
        <v>#DIV/0!</v>
      </c>
      <c r="F81" s="35">
        <f>SUMIFS(database!M:M,database!F:F,calc!$C$72,database!J:J,calc!C81,database!B:B,Dashboard!#REF!)</f>
        <v>0</v>
      </c>
      <c r="G81" s="34" t="e">
        <f t="shared" si="12"/>
        <v>#DIV/0!</v>
      </c>
      <c r="H81" s="32"/>
      <c r="I81" s="33"/>
      <c r="J81" s="45">
        <f>IFERROR(D81/D35,"")</f>
        <v>0</v>
      </c>
      <c r="K81" s="26" t="str">
        <f t="shared" si="13"/>
        <v/>
      </c>
      <c r="L81" s="24">
        <f>IFERROR(F81/D35,"")</f>
        <v>0</v>
      </c>
      <c r="M81" s="26" t="str">
        <f t="shared" si="14"/>
        <v/>
      </c>
    </row>
    <row r="82" spans="2:13" ht="24" x14ac:dyDescent="0.55000000000000004">
      <c r="B82" s="31"/>
      <c r="C82" s="21" t="s">
        <v>136</v>
      </c>
      <c r="D82" s="21">
        <f>SUM(D74:D81)</f>
        <v>0</v>
      </c>
      <c r="E82" s="23" t="e">
        <f>SUM(E74:E81)</f>
        <v>#DIV/0!</v>
      </c>
      <c r="F82" s="25">
        <f t="shared" ref="F82" si="15">SUM(F74:F81)</f>
        <v>0</v>
      </c>
      <c r="G82" s="23" t="e">
        <f>SUM(G74:G81)</f>
        <v>#DIV/0!</v>
      </c>
      <c r="H82" s="32"/>
      <c r="I82" s="33"/>
      <c r="J82" s="21">
        <f>SUM(J74:J81)</f>
        <v>0</v>
      </c>
      <c r="K82" s="23">
        <f>SUM(K74:K81)</f>
        <v>0</v>
      </c>
      <c r="L82" s="25">
        <f t="shared" ref="L82:M82" si="16">SUM(L74:L81)</f>
        <v>0</v>
      </c>
      <c r="M82" s="23">
        <f t="shared" si="16"/>
        <v>0</v>
      </c>
    </row>
    <row r="83" spans="2:13" x14ac:dyDescent="0.55000000000000004">
      <c r="B83" s="31"/>
      <c r="C83" s="33"/>
      <c r="D83" s="33"/>
      <c r="E83" s="33"/>
      <c r="F83" s="33"/>
      <c r="G83" s="33"/>
      <c r="H83" s="32"/>
      <c r="I83" s="33"/>
    </row>
    <row r="84" spans="2:13" x14ac:dyDescent="0.55000000000000004">
      <c r="B84" s="31"/>
      <c r="C84" s="33"/>
      <c r="D84" s="33"/>
      <c r="E84" s="33"/>
      <c r="F84" s="33"/>
      <c r="G84" s="33"/>
      <c r="H84" s="32"/>
      <c r="I84" s="33"/>
    </row>
    <row r="85" spans="2:13" ht="26.25" x14ac:dyDescent="0.55000000000000004">
      <c r="B85" s="31"/>
      <c r="C85" s="52" t="s">
        <v>117</v>
      </c>
      <c r="D85" s="52"/>
      <c r="E85" s="52"/>
      <c r="F85" s="52"/>
      <c r="G85" s="52"/>
      <c r="H85" s="32"/>
      <c r="I85" s="33"/>
    </row>
    <row r="86" spans="2:13" ht="24" x14ac:dyDescent="0.55000000000000004">
      <c r="B86" s="31"/>
      <c r="C86" s="8" t="s">
        <v>96</v>
      </c>
      <c r="D86" s="8" t="s">
        <v>113</v>
      </c>
      <c r="E86" s="8" t="s">
        <v>114</v>
      </c>
      <c r="F86" s="27" t="s">
        <v>115</v>
      </c>
      <c r="G86" s="8" t="s">
        <v>116</v>
      </c>
      <c r="H86" s="32"/>
      <c r="I86" s="33"/>
    </row>
    <row r="87" spans="2:13" x14ac:dyDescent="0.55000000000000004">
      <c r="B87" s="31"/>
      <c r="C87" s="7" t="s">
        <v>3</v>
      </c>
      <c r="D87" s="33">
        <f>SUMIFS(database!L:L,database!F:F,calc!C87)</f>
        <v>0</v>
      </c>
      <c r="E87" s="36" t="e">
        <f>D87/$D$89</f>
        <v>#DIV/0!</v>
      </c>
      <c r="F87" s="35">
        <f>SUMIFS(database!M:M,database!F:F,calc!C87)</f>
        <v>0</v>
      </c>
      <c r="G87" s="36" t="e">
        <f>F87/$F$89</f>
        <v>#DIV/0!</v>
      </c>
      <c r="H87" s="32"/>
      <c r="I87" s="33"/>
    </row>
    <row r="88" spans="2:13" x14ac:dyDescent="0.55000000000000004">
      <c r="B88" s="31"/>
      <c r="C88" s="7" t="s">
        <v>4</v>
      </c>
      <c r="D88" s="33">
        <f>SUMIFS(database!L:L,database!F:F,calc!C88)</f>
        <v>0</v>
      </c>
      <c r="E88" s="36" t="e">
        <f>D88/$D$89</f>
        <v>#DIV/0!</v>
      </c>
      <c r="F88" s="35">
        <f>SUMIFS(database!M:M,database!F:F,calc!C88)</f>
        <v>0</v>
      </c>
      <c r="G88" s="36" t="e">
        <f>F88/$F$89</f>
        <v>#DIV/0!</v>
      </c>
      <c r="H88" s="32"/>
      <c r="I88" s="33"/>
    </row>
    <row r="89" spans="2:13" ht="24" x14ac:dyDescent="0.55000000000000004">
      <c r="B89" s="31"/>
      <c r="C89" s="20" t="s">
        <v>136</v>
      </c>
      <c r="D89" s="21">
        <f>SUM(D87:D88)</f>
        <v>0</v>
      </c>
      <c r="E89" s="23" t="e">
        <f>SUM(E87:E88)</f>
        <v>#DIV/0!</v>
      </c>
      <c r="F89" s="25">
        <f>SUM(F87:F88)</f>
        <v>0</v>
      </c>
      <c r="G89" s="23" t="e">
        <f>SUM(G87:G88)</f>
        <v>#DIV/0!</v>
      </c>
      <c r="H89" s="32"/>
      <c r="I89" s="33"/>
    </row>
    <row r="90" spans="2:13" ht="23.25" thickBot="1" x14ac:dyDescent="0.6">
      <c r="B90" s="37"/>
      <c r="C90" s="38"/>
      <c r="D90" s="38"/>
      <c r="E90" s="38"/>
      <c r="F90" s="38"/>
      <c r="G90" s="38"/>
      <c r="H90" s="39"/>
      <c r="I90" s="33"/>
    </row>
    <row r="91" spans="2:13" x14ac:dyDescent="0.55000000000000004">
      <c r="I91" s="33"/>
    </row>
    <row r="92" spans="2:13" x14ac:dyDescent="0.55000000000000004">
      <c r="I92" s="33"/>
    </row>
    <row r="93" spans="2:13" ht="23.25" thickBot="1" x14ac:dyDescent="0.6">
      <c r="C93" s="53" t="s">
        <v>144</v>
      </c>
      <c r="I93" s="33"/>
    </row>
    <row r="94" spans="2:13" x14ac:dyDescent="0.55000000000000004">
      <c r="B94" s="28"/>
      <c r="C94" s="53"/>
      <c r="D94" s="29"/>
      <c r="E94" s="29"/>
      <c r="F94" s="29"/>
      <c r="G94" s="29"/>
      <c r="H94" s="30"/>
    </row>
    <row r="95" spans="2:13" ht="26.25" x14ac:dyDescent="0.55000000000000004">
      <c r="B95" s="31"/>
      <c r="C95" s="52" t="s">
        <v>3</v>
      </c>
      <c r="D95" s="52"/>
      <c r="E95" s="52"/>
      <c r="F95" s="52"/>
      <c r="G95" s="52"/>
      <c r="H95" s="32"/>
    </row>
    <row r="96" spans="2:13" ht="24" x14ac:dyDescent="0.55000000000000004">
      <c r="B96" s="31"/>
      <c r="C96" s="8" t="s">
        <v>96</v>
      </c>
      <c r="D96" s="8" t="s">
        <v>161</v>
      </c>
      <c r="E96" s="8" t="s">
        <v>160</v>
      </c>
      <c r="F96" s="8" t="s">
        <v>115</v>
      </c>
      <c r="G96" s="8" t="s">
        <v>116</v>
      </c>
      <c r="H96" s="32"/>
      <c r="J96" s="8" t="s">
        <v>163</v>
      </c>
      <c r="K96" s="8" t="s">
        <v>164</v>
      </c>
      <c r="L96" s="8" t="s">
        <v>165</v>
      </c>
      <c r="M96" s="8" t="s">
        <v>166</v>
      </c>
    </row>
    <row r="97" spans="2:13" x14ac:dyDescent="0.55000000000000004">
      <c r="B97" s="31"/>
      <c r="C97" s="47" t="s">
        <v>170</v>
      </c>
      <c r="D97" s="33">
        <f>SUMIFS(database!N:N,database!F:F,calc!$C$95,database!J:J,C97,database!B:B,Dashboard!#REF!)</f>
        <v>0</v>
      </c>
      <c r="E97" s="34" t="e">
        <f>D97/$D$115</f>
        <v>#DIV/0!</v>
      </c>
      <c r="F97" s="35">
        <f>SUMIFS(database!O:O,database!F:F,$C$95,database!J:J,calc!C97,database!B:B,Dashboard!#REF!)</f>
        <v>0</v>
      </c>
      <c r="G97" s="34" t="e">
        <f>F97/$F$115</f>
        <v>#DIV/0!</v>
      </c>
      <c r="H97" s="32"/>
      <c r="I97" s="33"/>
      <c r="J97" s="45">
        <f>IFERROR(D97/D5,"")</f>
        <v>0</v>
      </c>
      <c r="K97" s="26" t="str">
        <f>IFERROR(J97/$J$115,"")</f>
        <v/>
      </c>
      <c r="L97" s="24">
        <f>IFERROR(F97/D5,"")</f>
        <v>0</v>
      </c>
      <c r="M97" s="26" t="str">
        <f>IFERROR(L97/$L$115,"")</f>
        <v/>
      </c>
    </row>
    <row r="98" spans="2:13" x14ac:dyDescent="0.55000000000000004">
      <c r="B98" s="31"/>
      <c r="C98" s="47" t="s">
        <v>171</v>
      </c>
      <c r="D98" s="33">
        <f>SUMIFS(database!N:N,database!F:F,calc!$C$95,database!J:J,C98,database!B:B,Dashboard!#REF!)</f>
        <v>0</v>
      </c>
      <c r="E98" s="34" t="e">
        <f t="shared" ref="E98:E114" si="17">D98/$D$115</f>
        <v>#DIV/0!</v>
      </c>
      <c r="F98" s="35">
        <f>SUMIFS(database!O:O,database!F:F,$C$95,database!J:J,calc!C98,database!B:B,Dashboard!#REF!)</f>
        <v>0</v>
      </c>
      <c r="G98" s="34" t="e">
        <f t="shared" ref="G98:G114" si="18">F98/$F$115</f>
        <v>#DIV/0!</v>
      </c>
      <c r="H98" s="32"/>
      <c r="I98" s="33"/>
      <c r="J98" s="45">
        <f>IFERROR(D98/D6,"")</f>
        <v>0</v>
      </c>
      <c r="K98" s="26" t="str">
        <f t="shared" ref="K98:K114" si="19">IFERROR(J98/$J$115,"")</f>
        <v/>
      </c>
      <c r="L98" s="24">
        <f>IFERROR(F98/D6,"")</f>
        <v>0</v>
      </c>
      <c r="M98" s="26" t="str">
        <f t="shared" ref="M98:M114" si="20">IFERROR(L98/$L$115,"")</f>
        <v/>
      </c>
    </row>
    <row r="99" spans="2:13" x14ac:dyDescent="0.55000000000000004">
      <c r="B99" s="31"/>
      <c r="C99" s="47" t="s">
        <v>172</v>
      </c>
      <c r="D99" s="33">
        <f>SUMIFS(database!N:N,database!F:F,calc!$C$95,database!J:J,C99,database!B:B,Dashboard!#REF!)</f>
        <v>0</v>
      </c>
      <c r="E99" s="34" t="e">
        <f t="shared" si="17"/>
        <v>#DIV/0!</v>
      </c>
      <c r="F99" s="35">
        <f>SUMIFS(database!O:O,database!F:F,$C$95,database!J:J,calc!C99,database!B:B,Dashboard!#REF!)</f>
        <v>0</v>
      </c>
      <c r="G99" s="34" t="e">
        <f t="shared" si="18"/>
        <v>#DIV/0!</v>
      </c>
      <c r="H99" s="32"/>
      <c r="I99" s="33"/>
      <c r="J99" s="45" t="str">
        <f>IFERROR(D99/D7,"")</f>
        <v/>
      </c>
      <c r="K99" s="26" t="str">
        <f t="shared" si="19"/>
        <v/>
      </c>
      <c r="L99" s="24" t="str">
        <f>IFERROR(F99/D7,"")</f>
        <v/>
      </c>
      <c r="M99" s="26" t="str">
        <f t="shared" si="20"/>
        <v/>
      </c>
    </row>
    <row r="100" spans="2:13" x14ac:dyDescent="0.55000000000000004">
      <c r="B100" s="31"/>
      <c r="C100" s="47" t="s">
        <v>173</v>
      </c>
      <c r="D100" s="33">
        <f>SUMIFS(database!N:N,database!F:F,calc!$C$95,database!J:J,C100,database!B:B,Dashboard!#REF!)</f>
        <v>0</v>
      </c>
      <c r="E100" s="34" t="e">
        <f t="shared" si="17"/>
        <v>#DIV/0!</v>
      </c>
      <c r="F100" s="35">
        <f>SUMIFS(database!O:O,database!F:F,$C$95,database!J:J,calc!C100,database!B:B,Dashboard!#REF!)</f>
        <v>0</v>
      </c>
      <c r="G100" s="34" t="e">
        <f t="shared" si="18"/>
        <v>#DIV/0!</v>
      </c>
      <c r="H100" s="32"/>
      <c r="I100" s="33"/>
      <c r="J100" s="45">
        <f>IFERROR(D100/D8,"")</f>
        <v>0</v>
      </c>
      <c r="K100" s="26" t="str">
        <f t="shared" si="19"/>
        <v/>
      </c>
      <c r="L100" s="24">
        <f>IFERROR(F100/D8,"")</f>
        <v>0</v>
      </c>
      <c r="M100" s="26" t="str">
        <f t="shared" si="20"/>
        <v/>
      </c>
    </row>
    <row r="101" spans="2:13" x14ac:dyDescent="0.55000000000000004">
      <c r="B101" s="31"/>
      <c r="C101" s="47" t="s">
        <v>174</v>
      </c>
      <c r="D101" s="33">
        <f>SUMIFS(database!N:N,database!F:F,calc!$C$95,database!J:J,C101,database!B:B,Dashboard!#REF!)</f>
        <v>0</v>
      </c>
      <c r="E101" s="34" t="e">
        <f t="shared" si="17"/>
        <v>#DIV/0!</v>
      </c>
      <c r="F101" s="35">
        <f>SUMIFS(database!O:O,database!F:F,$C$95,database!J:J,calc!C101,database!B:B,Dashboard!#REF!)</f>
        <v>0</v>
      </c>
      <c r="G101" s="34" t="e">
        <f t="shared" si="18"/>
        <v>#DIV/0!</v>
      </c>
      <c r="H101" s="32"/>
      <c r="I101" s="33"/>
      <c r="J101" s="45" t="str">
        <f>IFERROR(D101/D9,"")</f>
        <v/>
      </c>
      <c r="K101" s="26" t="str">
        <f t="shared" si="19"/>
        <v/>
      </c>
      <c r="L101" s="24" t="str">
        <f>IFERROR(F101/D9,"")</f>
        <v/>
      </c>
      <c r="M101" s="26" t="str">
        <f t="shared" si="20"/>
        <v/>
      </c>
    </row>
    <row r="102" spans="2:13" x14ac:dyDescent="0.55000000000000004">
      <c r="B102" s="31"/>
      <c r="C102" s="47" t="s">
        <v>175</v>
      </c>
      <c r="D102" s="33">
        <f>SUMIFS(database!N:N,database!F:F,calc!$C$95,database!J:J,C102,database!B:B,Dashboard!#REF!)</f>
        <v>0</v>
      </c>
      <c r="E102" s="34" t="e">
        <f t="shared" si="17"/>
        <v>#DIV/0!</v>
      </c>
      <c r="F102" s="35">
        <f>SUMIFS(database!O:O,database!F:F,$C$95,database!J:J,calc!C102,database!B:B,Dashboard!#REF!)</f>
        <v>0</v>
      </c>
      <c r="G102" s="34" t="e">
        <f t="shared" si="18"/>
        <v>#DIV/0!</v>
      </c>
      <c r="H102" s="32"/>
      <c r="I102" s="33"/>
      <c r="J102" s="45">
        <f>IFERROR(D102/D10,"")</f>
        <v>0</v>
      </c>
      <c r="K102" s="26" t="str">
        <f t="shared" si="19"/>
        <v/>
      </c>
      <c r="L102" s="24">
        <f>IFERROR(F102/D10,"")</f>
        <v>0</v>
      </c>
      <c r="M102" s="26" t="str">
        <f t="shared" si="20"/>
        <v/>
      </c>
    </row>
    <row r="103" spans="2:13" x14ac:dyDescent="0.55000000000000004">
      <c r="B103" s="31"/>
      <c r="C103" s="47" t="s">
        <v>197</v>
      </c>
      <c r="D103" s="33">
        <f>SUMIFS(database!N:N,database!F:F,calc!$C$95,database!J:J,C103,database!B:B,Dashboard!#REF!)</f>
        <v>0</v>
      </c>
      <c r="E103" s="34" t="e">
        <f t="shared" si="17"/>
        <v>#DIV/0!</v>
      </c>
      <c r="F103" s="35">
        <f>SUMIFS(database!O:O,database!F:F,$C$95,database!J:J,calc!C103,database!B:B,Dashboard!#REF!)</f>
        <v>0</v>
      </c>
      <c r="G103" s="34" t="e">
        <f t="shared" si="18"/>
        <v>#DIV/0!</v>
      </c>
      <c r="H103" s="32"/>
      <c r="I103" s="33"/>
      <c r="J103" s="45">
        <f>IFERROR(D103/D11,"")</f>
        <v>0</v>
      </c>
      <c r="K103" s="26" t="str">
        <f t="shared" si="19"/>
        <v/>
      </c>
      <c r="L103" s="24">
        <f>IFERROR(F103/D11,"")</f>
        <v>0</v>
      </c>
      <c r="M103" s="26" t="str">
        <f t="shared" si="20"/>
        <v/>
      </c>
    </row>
    <row r="104" spans="2:13" x14ac:dyDescent="0.55000000000000004">
      <c r="B104" s="31"/>
      <c r="C104" s="47" t="s">
        <v>176</v>
      </c>
      <c r="D104" s="33">
        <f>SUMIFS(database!N:N,database!F:F,calc!$C$95,database!J:J,C104,database!B:B,Dashboard!#REF!)</f>
        <v>0</v>
      </c>
      <c r="E104" s="34" t="e">
        <f t="shared" si="17"/>
        <v>#DIV/0!</v>
      </c>
      <c r="F104" s="35">
        <f>SUMIFS(database!O:O,database!F:F,$C$95,database!J:J,calc!C104,database!B:B,Dashboard!#REF!)</f>
        <v>0</v>
      </c>
      <c r="G104" s="34" t="e">
        <f t="shared" si="18"/>
        <v>#DIV/0!</v>
      </c>
      <c r="H104" s="32"/>
      <c r="I104" s="33"/>
      <c r="J104" s="45" t="str">
        <f>IFERROR(D104/D12,"")</f>
        <v/>
      </c>
      <c r="K104" s="26" t="str">
        <f t="shared" si="19"/>
        <v/>
      </c>
      <c r="L104" s="24" t="str">
        <f>IFERROR(F104/D12,"")</f>
        <v/>
      </c>
      <c r="M104" s="26" t="str">
        <f t="shared" si="20"/>
        <v/>
      </c>
    </row>
    <row r="105" spans="2:13" x14ac:dyDescent="0.55000000000000004">
      <c r="B105" s="31"/>
      <c r="C105" s="47" t="s">
        <v>177</v>
      </c>
      <c r="D105" s="33">
        <f>SUMIFS(database!N:N,database!F:F,calc!$C$95,database!J:J,C105,database!B:B,Dashboard!#REF!)</f>
        <v>0</v>
      </c>
      <c r="E105" s="34" t="e">
        <f t="shared" si="17"/>
        <v>#DIV/0!</v>
      </c>
      <c r="F105" s="35">
        <f>SUMIFS(database!O:O,database!F:F,$C$95,database!J:J,calc!C105,database!B:B,Dashboard!#REF!)</f>
        <v>0</v>
      </c>
      <c r="G105" s="34" t="e">
        <f t="shared" si="18"/>
        <v>#DIV/0!</v>
      </c>
      <c r="H105" s="32"/>
      <c r="I105" s="33"/>
      <c r="J105" s="45">
        <f>IFERROR(D105/D13,"")</f>
        <v>0</v>
      </c>
      <c r="K105" s="26" t="str">
        <f t="shared" si="19"/>
        <v/>
      </c>
      <c r="L105" s="24">
        <f>IFERROR(F105/D13,"")</f>
        <v>0</v>
      </c>
      <c r="M105" s="26" t="str">
        <f t="shared" si="20"/>
        <v/>
      </c>
    </row>
    <row r="106" spans="2:13" x14ac:dyDescent="0.55000000000000004">
      <c r="B106" s="31"/>
      <c r="C106" s="47" t="s">
        <v>178</v>
      </c>
      <c r="D106" s="33">
        <f>SUMIFS(database!N:N,database!F:F,calc!$C$95,database!J:J,C106,database!B:B,Dashboard!#REF!)</f>
        <v>0</v>
      </c>
      <c r="E106" s="34" t="e">
        <f t="shared" si="17"/>
        <v>#DIV/0!</v>
      </c>
      <c r="F106" s="35">
        <f>SUMIFS(database!O:O,database!F:F,$C$95,database!J:J,calc!C106,database!B:B,Dashboard!#REF!)</f>
        <v>0</v>
      </c>
      <c r="G106" s="34" t="e">
        <f t="shared" si="18"/>
        <v>#DIV/0!</v>
      </c>
      <c r="H106" s="32"/>
      <c r="I106" s="33"/>
      <c r="J106" s="45" t="str">
        <f>IFERROR(D106/D14,"")</f>
        <v/>
      </c>
      <c r="K106" s="26" t="str">
        <f t="shared" si="19"/>
        <v/>
      </c>
      <c r="L106" s="24" t="str">
        <f>IFERROR(F106/D14,"")</f>
        <v/>
      </c>
      <c r="M106" s="26" t="str">
        <f t="shared" si="20"/>
        <v/>
      </c>
    </row>
    <row r="107" spans="2:13" x14ac:dyDescent="0.55000000000000004">
      <c r="B107" s="31"/>
      <c r="C107" s="47" t="s">
        <v>179</v>
      </c>
      <c r="D107" s="33">
        <f>SUMIFS(database!N:N,database!F:F,calc!$C$95,database!J:J,C107,database!B:B,Dashboard!#REF!)</f>
        <v>0</v>
      </c>
      <c r="E107" s="34" t="e">
        <f t="shared" si="17"/>
        <v>#DIV/0!</v>
      </c>
      <c r="F107" s="35">
        <f>SUMIFS(database!O:O,database!F:F,$C$95,database!J:J,calc!C107,database!B:B,Dashboard!#REF!)</f>
        <v>0</v>
      </c>
      <c r="G107" s="34" t="e">
        <f t="shared" si="18"/>
        <v>#DIV/0!</v>
      </c>
      <c r="H107" s="32"/>
      <c r="I107" s="33"/>
      <c r="J107" s="45">
        <f>IFERROR(D107/D15,"")</f>
        <v>0</v>
      </c>
      <c r="K107" s="26" t="str">
        <f t="shared" si="19"/>
        <v/>
      </c>
      <c r="L107" s="24">
        <f>IFERROR(F107/D15,"")</f>
        <v>0</v>
      </c>
      <c r="M107" s="26" t="str">
        <f t="shared" si="20"/>
        <v/>
      </c>
    </row>
    <row r="108" spans="2:13" x14ac:dyDescent="0.55000000000000004">
      <c r="B108" s="31"/>
      <c r="C108" s="47" t="s">
        <v>180</v>
      </c>
      <c r="D108" s="33">
        <f>SUMIFS(database!N:N,database!F:F,calc!$C$95,database!J:J,C108,database!B:B,Dashboard!#REF!)</f>
        <v>0</v>
      </c>
      <c r="E108" s="34" t="e">
        <f t="shared" si="17"/>
        <v>#DIV/0!</v>
      </c>
      <c r="F108" s="35">
        <f>SUMIFS(database!O:O,database!F:F,$C$95,database!J:J,calc!C108,database!B:B,Dashboard!#REF!)</f>
        <v>0</v>
      </c>
      <c r="G108" s="34" t="e">
        <f t="shared" si="18"/>
        <v>#DIV/0!</v>
      </c>
      <c r="H108" s="32"/>
      <c r="I108" s="33"/>
      <c r="J108" s="45">
        <f>IFERROR(D108/D16,"")</f>
        <v>0</v>
      </c>
      <c r="K108" s="26" t="str">
        <f t="shared" si="19"/>
        <v/>
      </c>
      <c r="L108" s="24">
        <f>IFERROR(F108/D16,"")</f>
        <v>0</v>
      </c>
      <c r="M108" s="26" t="str">
        <f t="shared" si="20"/>
        <v/>
      </c>
    </row>
    <row r="109" spans="2:13" x14ac:dyDescent="0.55000000000000004">
      <c r="B109" s="31"/>
      <c r="C109" s="47" t="s">
        <v>181</v>
      </c>
      <c r="D109" s="33">
        <f>SUMIFS(database!N:N,database!F:F,calc!$C$95,database!J:J,C109,database!B:B,Dashboard!#REF!)</f>
        <v>0</v>
      </c>
      <c r="E109" s="34" t="e">
        <f t="shared" si="17"/>
        <v>#DIV/0!</v>
      </c>
      <c r="F109" s="35">
        <f>SUMIFS(database!O:O,database!F:F,$C$95,database!J:J,calc!C109,database!B:B,Dashboard!#REF!)</f>
        <v>0</v>
      </c>
      <c r="G109" s="34" t="e">
        <f t="shared" si="18"/>
        <v>#DIV/0!</v>
      </c>
      <c r="H109" s="32"/>
      <c r="I109" s="33"/>
      <c r="J109" s="45">
        <f>IFERROR(D109/D17,"")</f>
        <v>0</v>
      </c>
      <c r="K109" s="26" t="str">
        <f t="shared" si="19"/>
        <v/>
      </c>
      <c r="L109" s="24">
        <f>IFERROR(F109/D17,"")</f>
        <v>0</v>
      </c>
      <c r="M109" s="26" t="str">
        <f t="shared" si="20"/>
        <v/>
      </c>
    </row>
    <row r="110" spans="2:13" x14ac:dyDescent="0.55000000000000004">
      <c r="B110" s="31"/>
      <c r="C110" s="47" t="s">
        <v>182</v>
      </c>
      <c r="D110" s="33">
        <f>SUMIFS(database!N:N,database!F:F,calc!$C$95,database!J:J,C110,database!B:B,Dashboard!#REF!)</f>
        <v>0</v>
      </c>
      <c r="E110" s="34" t="e">
        <f t="shared" si="17"/>
        <v>#DIV/0!</v>
      </c>
      <c r="F110" s="35">
        <f>SUMIFS(database!O:O,database!F:F,$C$95,database!J:J,calc!C110,database!B:B,Dashboard!#REF!)</f>
        <v>0</v>
      </c>
      <c r="G110" s="34" t="e">
        <f t="shared" si="18"/>
        <v>#DIV/0!</v>
      </c>
      <c r="H110" s="32"/>
      <c r="I110" s="33"/>
      <c r="J110" s="45">
        <f>IFERROR(D110/D18,"")</f>
        <v>0</v>
      </c>
      <c r="K110" s="26" t="str">
        <f t="shared" si="19"/>
        <v/>
      </c>
      <c r="L110" s="24">
        <f>IFERROR(F110/D18,"")</f>
        <v>0</v>
      </c>
      <c r="M110" s="26" t="str">
        <f t="shared" si="20"/>
        <v/>
      </c>
    </row>
    <row r="111" spans="2:13" x14ac:dyDescent="0.55000000000000004">
      <c r="B111" s="31"/>
      <c r="C111" s="47" t="s">
        <v>183</v>
      </c>
      <c r="D111" s="33">
        <f>SUMIFS(database!N:N,database!F:F,calc!$C$95,database!J:J,C111,database!B:B,Dashboard!#REF!)</f>
        <v>0</v>
      </c>
      <c r="E111" s="34" t="e">
        <f t="shared" si="17"/>
        <v>#DIV/0!</v>
      </c>
      <c r="F111" s="35">
        <f>SUMIFS(database!O:O,database!F:F,$C$95,database!J:J,calc!C111,database!B:B,Dashboard!#REF!)</f>
        <v>0</v>
      </c>
      <c r="G111" s="34" t="e">
        <f t="shared" si="18"/>
        <v>#DIV/0!</v>
      </c>
      <c r="H111" s="32"/>
      <c r="I111" s="33"/>
      <c r="J111" s="45" t="str">
        <f>IFERROR(D111/D19,"")</f>
        <v/>
      </c>
      <c r="K111" s="26" t="str">
        <f t="shared" si="19"/>
        <v/>
      </c>
      <c r="L111" s="24" t="str">
        <f>IFERROR(F111/D19,"")</f>
        <v/>
      </c>
      <c r="M111" s="26" t="str">
        <f t="shared" si="20"/>
        <v/>
      </c>
    </row>
    <row r="112" spans="2:13" x14ac:dyDescent="0.55000000000000004">
      <c r="B112" s="31"/>
      <c r="C112" s="47" t="s">
        <v>184</v>
      </c>
      <c r="D112" s="33">
        <f>SUMIFS(database!N:N,database!F:F,calc!$C$95,database!J:J,C112,database!B:B,Dashboard!#REF!)</f>
        <v>0</v>
      </c>
      <c r="E112" s="34" t="e">
        <f t="shared" si="17"/>
        <v>#DIV/0!</v>
      </c>
      <c r="F112" s="35">
        <f>SUMIFS(database!O:O,database!F:F,$C$95,database!J:J,calc!C112,database!B:B,Dashboard!#REF!)</f>
        <v>0</v>
      </c>
      <c r="G112" s="34" t="e">
        <f t="shared" si="18"/>
        <v>#DIV/0!</v>
      </c>
      <c r="H112" s="32"/>
      <c r="I112" s="33"/>
      <c r="J112" s="45" t="str">
        <f>IFERROR(D112/D20,"")</f>
        <v/>
      </c>
      <c r="K112" s="26" t="str">
        <f t="shared" si="19"/>
        <v/>
      </c>
      <c r="L112" s="24" t="str">
        <f>IFERROR(F112/D20,"")</f>
        <v/>
      </c>
      <c r="M112" s="26" t="str">
        <f t="shared" si="20"/>
        <v/>
      </c>
    </row>
    <row r="113" spans="2:13" x14ac:dyDescent="0.55000000000000004">
      <c r="B113" s="31"/>
      <c r="C113" s="47" t="s">
        <v>185</v>
      </c>
      <c r="D113" s="33">
        <f>SUMIFS(database!N:N,database!F:F,calc!$C$95,database!J:J,C113,database!B:B,Dashboard!#REF!)</f>
        <v>0</v>
      </c>
      <c r="E113" s="34" t="e">
        <f t="shared" si="17"/>
        <v>#DIV/0!</v>
      </c>
      <c r="F113" s="35">
        <f>SUMIFS(database!O:O,database!F:F,$C$95,database!J:J,calc!C113,database!B:B,Dashboard!#REF!)</f>
        <v>0</v>
      </c>
      <c r="G113" s="34" t="e">
        <f t="shared" si="18"/>
        <v>#DIV/0!</v>
      </c>
      <c r="H113" s="32"/>
      <c r="I113" s="33"/>
      <c r="J113" s="45">
        <f>IFERROR(D113/D21,"")</f>
        <v>0</v>
      </c>
      <c r="K113" s="26" t="str">
        <f t="shared" si="19"/>
        <v/>
      </c>
      <c r="L113" s="24">
        <f>IFERROR(F113/D21,"")</f>
        <v>0</v>
      </c>
      <c r="M113" s="26" t="str">
        <f t="shared" si="20"/>
        <v/>
      </c>
    </row>
    <row r="114" spans="2:13" x14ac:dyDescent="0.55000000000000004">
      <c r="B114" s="31"/>
      <c r="C114" s="47" t="s">
        <v>169</v>
      </c>
      <c r="D114" s="33">
        <f>SUMIFS(database!N:N,database!F:F,calc!$C$95,database!J:J,C114,database!B:B,Dashboard!#REF!)</f>
        <v>0</v>
      </c>
      <c r="E114" s="34" t="e">
        <f t="shared" si="17"/>
        <v>#DIV/0!</v>
      </c>
      <c r="F114" s="35">
        <f>SUMIFS(database!O:O,database!F:F,$C$95,database!J:J,calc!C114,database!B:B,Dashboard!#REF!)</f>
        <v>0</v>
      </c>
      <c r="G114" s="34" t="e">
        <f t="shared" si="18"/>
        <v>#DIV/0!</v>
      </c>
      <c r="H114" s="32"/>
      <c r="I114" s="33"/>
      <c r="J114" s="45" t="str">
        <f>IFERROR(D114/D22,"")</f>
        <v/>
      </c>
      <c r="K114" s="26" t="str">
        <f t="shared" si="19"/>
        <v/>
      </c>
      <c r="L114" s="24" t="str">
        <f>IFERROR(F114/D22,"")</f>
        <v/>
      </c>
      <c r="M114" s="26" t="str">
        <f t="shared" si="20"/>
        <v/>
      </c>
    </row>
    <row r="115" spans="2:13" ht="24" x14ac:dyDescent="0.55000000000000004">
      <c r="B115" s="31"/>
      <c r="C115" s="21" t="s">
        <v>136</v>
      </c>
      <c r="D115" s="21">
        <f>SUM(D97:D114)</f>
        <v>0</v>
      </c>
      <c r="E115" s="23" t="e">
        <f>SUM(E97:E114)</f>
        <v>#DIV/0!</v>
      </c>
      <c r="F115" s="25">
        <f>SUM(F97:F114)</f>
        <v>0</v>
      </c>
      <c r="G115" s="23" t="e">
        <f>SUM(G97:G114)</f>
        <v>#DIV/0!</v>
      </c>
      <c r="H115" s="32"/>
      <c r="I115" s="33"/>
      <c r="J115" s="46">
        <f>SUM(J97:J114)</f>
        <v>0</v>
      </c>
      <c r="K115" s="23">
        <f>SUM(K97:K114)</f>
        <v>0</v>
      </c>
      <c r="L115" s="25">
        <f>SUM(L97:L114)</f>
        <v>0</v>
      </c>
      <c r="M115" s="23">
        <f>SUM(M97:M114)</f>
        <v>0</v>
      </c>
    </row>
    <row r="116" spans="2:13" x14ac:dyDescent="0.55000000000000004">
      <c r="B116" s="31"/>
      <c r="C116" s="33"/>
      <c r="D116" s="33"/>
      <c r="E116" s="33"/>
      <c r="F116" s="33"/>
      <c r="G116" s="33"/>
      <c r="H116" s="32"/>
      <c r="I116" s="33"/>
    </row>
    <row r="117" spans="2:13" x14ac:dyDescent="0.55000000000000004">
      <c r="B117" s="31"/>
      <c r="C117" s="33"/>
      <c r="D117" s="33"/>
      <c r="E117" s="33"/>
      <c r="F117" s="33"/>
      <c r="G117" s="33"/>
      <c r="H117" s="32"/>
      <c r="I117" s="33"/>
    </row>
    <row r="118" spans="2:13" ht="26.25" x14ac:dyDescent="0.55000000000000004">
      <c r="B118" s="31"/>
      <c r="C118" s="52" t="s">
        <v>4</v>
      </c>
      <c r="D118" s="52"/>
      <c r="E118" s="52"/>
      <c r="F118" s="52"/>
      <c r="G118" s="52"/>
      <c r="H118" s="32"/>
      <c r="I118" s="33"/>
    </row>
    <row r="119" spans="2:13" ht="24" x14ac:dyDescent="0.55000000000000004">
      <c r="B119" s="31"/>
      <c r="C119" s="8" t="s">
        <v>96</v>
      </c>
      <c r="D119" s="8" t="s">
        <v>161</v>
      </c>
      <c r="E119" s="8" t="s">
        <v>160</v>
      </c>
      <c r="F119" s="8" t="s">
        <v>115</v>
      </c>
      <c r="G119" s="8" t="s">
        <v>116</v>
      </c>
      <c r="H119" s="32"/>
      <c r="I119" s="33"/>
      <c r="J119" s="8" t="s">
        <v>163</v>
      </c>
      <c r="K119" s="8" t="s">
        <v>164</v>
      </c>
      <c r="L119" s="8" t="s">
        <v>165</v>
      </c>
      <c r="M119" s="8" t="s">
        <v>166</v>
      </c>
    </row>
    <row r="120" spans="2:13" x14ac:dyDescent="0.55000000000000004">
      <c r="B120" s="31"/>
      <c r="C120" s="47" t="s">
        <v>189</v>
      </c>
      <c r="D120" s="33">
        <f>SUMIFS(database!N:N,database!F:F,calc!$C$118,database!J:J,C120,database!B:B,Dashboard!#REF!)</f>
        <v>0</v>
      </c>
      <c r="E120" s="34" t="str">
        <f>IFERROR(D120/$D$128,"")</f>
        <v/>
      </c>
      <c r="F120" s="35">
        <f>SUMIFS(database!O:O,database!F:F,$C$118,database!J:J,calc!C120,database!B:B,Dashboard!#REF!)</f>
        <v>0</v>
      </c>
      <c r="G120" s="34" t="str">
        <f>IFERROR(F120/$F$128,"")</f>
        <v/>
      </c>
      <c r="H120" s="32"/>
      <c r="I120" s="33"/>
      <c r="J120" s="45" t="str">
        <f>IFERROR(D120/D28,"")</f>
        <v/>
      </c>
      <c r="K120" s="26" t="str">
        <f>IFERROR(J120/$J$128,"")</f>
        <v/>
      </c>
      <c r="L120" s="24" t="str">
        <f>IFERROR(F120/D28,"")</f>
        <v/>
      </c>
      <c r="M120" s="26" t="str">
        <f>IFERROR(L120/$L$128,"")</f>
        <v/>
      </c>
    </row>
    <row r="121" spans="2:13" x14ac:dyDescent="0.55000000000000004">
      <c r="B121" s="31"/>
      <c r="C121" s="47" t="s">
        <v>190</v>
      </c>
      <c r="D121" s="33">
        <f>SUMIFS(database!N:N,database!F:F,calc!$C$118,database!J:J,C121,database!B:B,Dashboard!#REF!)</f>
        <v>0</v>
      </c>
      <c r="E121" s="34" t="str">
        <f t="shared" ref="E121:E127" si="21">IFERROR(D121/$D$128,"")</f>
        <v/>
      </c>
      <c r="F121" s="35">
        <f>SUMIFS(database!O:O,database!F:F,$C$118,database!J:J,calc!C121,database!B:B,Dashboard!#REF!)</f>
        <v>0</v>
      </c>
      <c r="G121" s="34" t="str">
        <f t="shared" ref="G121:G127" si="22">IFERROR(F121/$F$128,"")</f>
        <v/>
      </c>
      <c r="H121" s="32"/>
      <c r="I121" s="33"/>
      <c r="J121" s="45" t="str">
        <f>IFERROR(D121/D29,"")</f>
        <v/>
      </c>
      <c r="K121" s="26" t="str">
        <f t="shared" ref="K121:K127" si="23">IFERROR(J121/$J$128,"")</f>
        <v/>
      </c>
      <c r="L121" s="24" t="str">
        <f>IFERROR(F121/D29,"")</f>
        <v/>
      </c>
      <c r="M121" s="26" t="str">
        <f t="shared" ref="M121:M127" si="24">IFERROR(L121/$L$128,"")</f>
        <v/>
      </c>
    </row>
    <row r="122" spans="2:13" x14ac:dyDescent="0.55000000000000004">
      <c r="B122" s="31"/>
      <c r="C122" s="47" t="s">
        <v>191</v>
      </c>
      <c r="D122" s="33">
        <f>SUMIFS(database!N:N,database!F:F,calc!$C$118,database!J:J,C122,database!B:B,Dashboard!#REF!)</f>
        <v>0</v>
      </c>
      <c r="E122" s="34" t="str">
        <f t="shared" si="21"/>
        <v/>
      </c>
      <c r="F122" s="35">
        <f>SUMIFS(database!O:O,database!F:F,$C$118,database!J:J,calc!C122,database!B:B,Dashboard!#REF!)</f>
        <v>0</v>
      </c>
      <c r="G122" s="34" t="str">
        <f t="shared" si="22"/>
        <v/>
      </c>
      <c r="H122" s="32"/>
      <c r="I122" s="33"/>
      <c r="J122" s="45" t="str">
        <f>IFERROR(D122/D30,"")</f>
        <v/>
      </c>
      <c r="K122" s="26" t="str">
        <f t="shared" si="23"/>
        <v/>
      </c>
      <c r="L122" s="24" t="str">
        <f>IFERROR(F122/D30,"")</f>
        <v/>
      </c>
      <c r="M122" s="26" t="str">
        <f t="shared" si="24"/>
        <v/>
      </c>
    </row>
    <row r="123" spans="2:13" x14ac:dyDescent="0.55000000000000004">
      <c r="B123" s="31"/>
      <c r="C123" s="47" t="s">
        <v>192</v>
      </c>
      <c r="D123" s="33">
        <f>SUMIFS(database!N:N,database!F:F,calc!$C$118,database!J:J,C123,database!B:B,Dashboard!#REF!)</f>
        <v>0</v>
      </c>
      <c r="E123" s="34" t="str">
        <f t="shared" si="21"/>
        <v/>
      </c>
      <c r="F123" s="35">
        <f>SUMIFS(database!O:O,database!F:F,$C$118,database!J:J,calc!C123,database!B:B,Dashboard!#REF!)</f>
        <v>0</v>
      </c>
      <c r="G123" s="34" t="str">
        <f t="shared" si="22"/>
        <v/>
      </c>
      <c r="H123" s="32"/>
      <c r="I123" s="33"/>
      <c r="J123" s="45" t="str">
        <f>IFERROR(D123/D31,"")</f>
        <v/>
      </c>
      <c r="K123" s="26" t="str">
        <f t="shared" si="23"/>
        <v/>
      </c>
      <c r="L123" s="24" t="str">
        <f>IFERROR(F123/D31,"")</f>
        <v/>
      </c>
      <c r="M123" s="26" t="str">
        <f t="shared" si="24"/>
        <v/>
      </c>
    </row>
    <row r="124" spans="2:13" x14ac:dyDescent="0.55000000000000004">
      <c r="B124" s="31"/>
      <c r="C124" s="47" t="s">
        <v>193</v>
      </c>
      <c r="D124" s="33">
        <f>SUMIFS(database!N:N,database!F:F,calc!$C$118,database!J:J,C124,database!B:B,Dashboard!#REF!)</f>
        <v>0</v>
      </c>
      <c r="E124" s="34" t="str">
        <f t="shared" si="21"/>
        <v/>
      </c>
      <c r="F124" s="35">
        <f>SUMIFS(database!O:O,database!F:F,$C$118,database!J:J,calc!C124,database!B:B,Dashboard!#REF!)</f>
        <v>0</v>
      </c>
      <c r="G124" s="34" t="str">
        <f t="shared" si="22"/>
        <v/>
      </c>
      <c r="H124" s="32"/>
      <c r="I124" s="33"/>
      <c r="J124" s="45">
        <f>IFERROR(D124/D32,"")</f>
        <v>0</v>
      </c>
      <c r="K124" s="26" t="str">
        <f t="shared" si="23"/>
        <v/>
      </c>
      <c r="L124" s="24">
        <f>IFERROR(F124/D32,"")</f>
        <v>0</v>
      </c>
      <c r="M124" s="26" t="str">
        <f t="shared" si="24"/>
        <v/>
      </c>
    </row>
    <row r="125" spans="2:13" x14ac:dyDescent="0.55000000000000004">
      <c r="B125" s="31"/>
      <c r="C125" s="47" t="s">
        <v>196</v>
      </c>
      <c r="D125" s="33">
        <f>SUMIFS(database!N:N,database!F:F,calc!$C$118,database!J:J,C125,database!B:B,Dashboard!#REF!)</f>
        <v>0</v>
      </c>
      <c r="E125" s="34" t="str">
        <f t="shared" si="21"/>
        <v/>
      </c>
      <c r="F125" s="35">
        <f>SUMIFS(database!O:O,database!F:F,$C$118,database!J:J,calc!C125,database!B:B,Dashboard!#REF!)</f>
        <v>0</v>
      </c>
      <c r="G125" s="34" t="str">
        <f t="shared" si="22"/>
        <v/>
      </c>
      <c r="H125" s="32"/>
      <c r="I125" s="33"/>
      <c r="J125" s="45" t="str">
        <f>IFERROR(D125/D33,"")</f>
        <v/>
      </c>
      <c r="K125" s="26" t="str">
        <f t="shared" si="23"/>
        <v/>
      </c>
      <c r="L125" s="24" t="str">
        <f>IFERROR(F125/D33,"")</f>
        <v/>
      </c>
      <c r="M125" s="26" t="str">
        <f t="shared" si="24"/>
        <v/>
      </c>
    </row>
    <row r="126" spans="2:13" x14ac:dyDescent="0.55000000000000004">
      <c r="B126" s="31"/>
      <c r="C126" s="47" t="s">
        <v>194</v>
      </c>
      <c r="D126" s="33">
        <f>SUMIFS(database!N:N,database!F:F,calc!$C$118,database!J:J,C126,database!B:B,Dashboard!#REF!)</f>
        <v>0</v>
      </c>
      <c r="E126" s="34" t="str">
        <f t="shared" si="21"/>
        <v/>
      </c>
      <c r="F126" s="35">
        <f>SUMIFS(database!O:O,database!F:F,$C$118,database!J:J,calc!C126,database!B:B,Dashboard!#REF!)</f>
        <v>0</v>
      </c>
      <c r="G126" s="34" t="str">
        <f t="shared" si="22"/>
        <v/>
      </c>
      <c r="H126" s="32"/>
      <c r="I126" s="33"/>
      <c r="J126" s="45">
        <f>IFERROR(D126/D34,"")</f>
        <v>0</v>
      </c>
      <c r="K126" s="26" t="str">
        <f t="shared" si="23"/>
        <v/>
      </c>
      <c r="L126" s="24">
        <f>IFERROR(F126/D34,"")</f>
        <v>0</v>
      </c>
      <c r="M126" s="26" t="str">
        <f t="shared" si="24"/>
        <v/>
      </c>
    </row>
    <row r="127" spans="2:13" x14ac:dyDescent="0.55000000000000004">
      <c r="B127" s="31"/>
      <c r="C127" s="47" t="s">
        <v>195</v>
      </c>
      <c r="D127" s="33">
        <f>SUMIFS(database!N:N,database!F:F,calc!$C$118,database!J:J,C127,database!B:B,Dashboard!#REF!)</f>
        <v>0</v>
      </c>
      <c r="E127" s="34" t="str">
        <f t="shared" si="21"/>
        <v/>
      </c>
      <c r="F127" s="35">
        <f>SUMIFS(database!O:O,database!F:F,$C$118,database!J:J,calc!C127,database!B:B,Dashboard!#REF!)</f>
        <v>0</v>
      </c>
      <c r="G127" s="34" t="str">
        <f t="shared" si="22"/>
        <v/>
      </c>
      <c r="H127" s="32"/>
      <c r="I127" s="33"/>
      <c r="J127" s="45">
        <f>IFERROR(D127/D35,"")</f>
        <v>0</v>
      </c>
      <c r="K127" s="26" t="str">
        <f t="shared" si="23"/>
        <v/>
      </c>
      <c r="L127" s="24">
        <f>IFERROR(F127/D35,"")</f>
        <v>0</v>
      </c>
      <c r="M127" s="26" t="str">
        <f t="shared" si="24"/>
        <v/>
      </c>
    </row>
    <row r="128" spans="2:13" ht="24" x14ac:dyDescent="0.55000000000000004">
      <c r="B128" s="31"/>
      <c r="C128" s="21" t="s">
        <v>136</v>
      </c>
      <c r="D128" s="21">
        <f>SUM(D120:D127)</f>
        <v>0</v>
      </c>
      <c r="E128" s="23">
        <f>SUM(E120:E127)</f>
        <v>0</v>
      </c>
      <c r="F128" s="25">
        <f t="shared" ref="F128" si="25">SUM(F120:F127)</f>
        <v>0</v>
      </c>
      <c r="G128" s="23">
        <f>SUM(G120:G127)</f>
        <v>0</v>
      </c>
      <c r="H128" s="32"/>
      <c r="I128" s="33"/>
      <c r="J128" s="21">
        <f>SUM(J120:J127)</f>
        <v>0</v>
      </c>
      <c r="K128" s="23">
        <f>SUM(K120:K127)</f>
        <v>0</v>
      </c>
      <c r="L128" s="25">
        <f t="shared" ref="L128" si="26">SUM(L120:L127)</f>
        <v>0</v>
      </c>
      <c r="M128" s="23">
        <f t="shared" ref="M128" si="27">SUM(M120:M127)</f>
        <v>0</v>
      </c>
    </row>
    <row r="129" spans="2:13" ht="23.25" thickBot="1" x14ac:dyDescent="0.6">
      <c r="B129" s="37"/>
      <c r="C129" s="38"/>
      <c r="D129" s="38"/>
      <c r="E129" s="38"/>
      <c r="F129" s="38"/>
      <c r="G129" s="38"/>
      <c r="H129" s="39"/>
      <c r="I129" s="33"/>
    </row>
    <row r="130" spans="2:13" x14ac:dyDescent="0.55000000000000004">
      <c r="I130" s="33"/>
    </row>
    <row r="131" spans="2:13" x14ac:dyDescent="0.55000000000000004">
      <c r="I131" s="33"/>
    </row>
    <row r="132" spans="2:13" ht="23.25" thickBot="1" x14ac:dyDescent="0.6">
      <c r="C132" s="53" t="s">
        <v>145</v>
      </c>
      <c r="I132" s="33"/>
    </row>
    <row r="133" spans="2:13" x14ac:dyDescent="0.55000000000000004">
      <c r="B133" s="28"/>
      <c r="C133" s="53"/>
      <c r="D133" s="29"/>
      <c r="E133" s="29"/>
      <c r="F133" s="29"/>
      <c r="G133" s="29"/>
      <c r="H133" s="30"/>
    </row>
    <row r="134" spans="2:13" ht="26.25" x14ac:dyDescent="0.55000000000000004">
      <c r="B134" s="31"/>
      <c r="C134" s="52" t="s">
        <v>3</v>
      </c>
      <c r="D134" s="52"/>
      <c r="E134" s="52"/>
      <c r="F134" s="52"/>
      <c r="G134" s="52"/>
      <c r="H134" s="32"/>
    </row>
    <row r="135" spans="2:13" ht="24" x14ac:dyDescent="0.55000000000000004">
      <c r="B135" s="31"/>
      <c r="C135" s="8" t="s">
        <v>96</v>
      </c>
      <c r="D135" s="8" t="s">
        <v>162</v>
      </c>
      <c r="E135" s="8" t="s">
        <v>160</v>
      </c>
      <c r="F135" s="8" t="s">
        <v>115</v>
      </c>
      <c r="G135" s="8" t="s">
        <v>116</v>
      </c>
      <c r="H135" s="32"/>
      <c r="J135" s="8" t="s">
        <v>163</v>
      </c>
      <c r="K135" s="8" t="s">
        <v>164</v>
      </c>
      <c r="L135" s="8" t="s">
        <v>165</v>
      </c>
      <c r="M135" s="8" t="s">
        <v>166</v>
      </c>
    </row>
    <row r="136" spans="2:13" x14ac:dyDescent="0.55000000000000004">
      <c r="B136" s="31"/>
      <c r="C136" s="47" t="s">
        <v>170</v>
      </c>
      <c r="D136" s="33">
        <f>SUMIFS(database!P:P,database!F:F,calc!$C$134,database!J:J,C136,database!B:B,Dashboard!#REF!)</f>
        <v>0</v>
      </c>
      <c r="E136" s="34" t="e">
        <f>D136/$D$154</f>
        <v>#DIV/0!</v>
      </c>
      <c r="F136" s="35">
        <f>SUMIFS(database!Q:Q,database!F:F,$C$134,database!J:J,calc!C136,database!B:B,Dashboard!#REF!)</f>
        <v>0</v>
      </c>
      <c r="G136" s="34" t="e">
        <f>F136/$F$154</f>
        <v>#DIV/0!</v>
      </c>
      <c r="H136" s="32"/>
      <c r="I136" s="33"/>
      <c r="J136" s="45">
        <f>IFERROR(D136/D5,"")</f>
        <v>0</v>
      </c>
      <c r="K136" s="26" t="str">
        <f>IFERROR(J136/$J$154,"")</f>
        <v/>
      </c>
      <c r="L136" s="24">
        <f>IFERROR(F136/D5,"")</f>
        <v>0</v>
      </c>
      <c r="M136" s="26" t="str">
        <f>IFERROR(L136/$L$154,"")</f>
        <v/>
      </c>
    </row>
    <row r="137" spans="2:13" x14ac:dyDescent="0.55000000000000004">
      <c r="B137" s="31"/>
      <c r="C137" s="47" t="s">
        <v>171</v>
      </c>
      <c r="D137" s="33">
        <f>SUMIFS(database!P:P,database!F:F,calc!$C$134,database!J:J,C137,database!B:B,Dashboard!#REF!)</f>
        <v>0</v>
      </c>
      <c r="E137" s="34" t="e">
        <f t="shared" ref="E137:E153" si="28">D137/$D$154</f>
        <v>#DIV/0!</v>
      </c>
      <c r="F137" s="35">
        <f>SUMIFS(database!Q:Q,database!F:F,$C$134,database!J:J,calc!C137,database!B:B,Dashboard!#REF!)</f>
        <v>0</v>
      </c>
      <c r="G137" s="34" t="e">
        <f t="shared" ref="G137:G153" si="29">F137/$F$154</f>
        <v>#DIV/0!</v>
      </c>
      <c r="H137" s="32"/>
      <c r="I137" s="33"/>
      <c r="J137" s="45">
        <f>IFERROR(D137/D6,"")</f>
        <v>0</v>
      </c>
      <c r="K137" s="26" t="str">
        <f t="shared" ref="K137:K153" si="30">IFERROR(J137/$J$154,"")</f>
        <v/>
      </c>
      <c r="L137" s="24">
        <f>IFERROR(F137/D6,"")</f>
        <v>0</v>
      </c>
      <c r="M137" s="26" t="str">
        <f t="shared" ref="M137:M153" si="31">IFERROR(L137/$L$154,"")</f>
        <v/>
      </c>
    </row>
    <row r="138" spans="2:13" x14ac:dyDescent="0.55000000000000004">
      <c r="B138" s="31"/>
      <c r="C138" s="47" t="s">
        <v>172</v>
      </c>
      <c r="D138" s="33">
        <f>SUMIFS(database!P:P,database!F:F,calc!$C$134,database!J:J,C138,database!B:B,Dashboard!#REF!)</f>
        <v>0</v>
      </c>
      <c r="E138" s="34" t="e">
        <f t="shared" si="28"/>
        <v>#DIV/0!</v>
      </c>
      <c r="F138" s="35">
        <f>SUMIFS(database!Q:Q,database!F:F,$C$134,database!J:J,calc!C138,database!B:B,Dashboard!#REF!)</f>
        <v>0</v>
      </c>
      <c r="G138" s="34" t="e">
        <f t="shared" si="29"/>
        <v>#DIV/0!</v>
      </c>
      <c r="H138" s="32"/>
      <c r="I138" s="33"/>
      <c r="J138" s="45" t="str">
        <f>IFERROR(D138/D7,"")</f>
        <v/>
      </c>
      <c r="K138" s="26" t="str">
        <f t="shared" si="30"/>
        <v/>
      </c>
      <c r="L138" s="24" t="str">
        <f>IFERROR(F138/D7,"")</f>
        <v/>
      </c>
      <c r="M138" s="26" t="str">
        <f t="shared" si="31"/>
        <v/>
      </c>
    </row>
    <row r="139" spans="2:13" x14ac:dyDescent="0.55000000000000004">
      <c r="B139" s="31"/>
      <c r="C139" s="47" t="s">
        <v>173</v>
      </c>
      <c r="D139" s="33">
        <f>SUMIFS(database!P:P,database!F:F,calc!$C$134,database!J:J,C139,database!B:B,Dashboard!#REF!)</f>
        <v>0</v>
      </c>
      <c r="E139" s="34" t="e">
        <f t="shared" si="28"/>
        <v>#DIV/0!</v>
      </c>
      <c r="F139" s="35">
        <f>SUMIFS(database!Q:Q,database!F:F,$C$134,database!J:J,calc!C139,database!B:B,Dashboard!#REF!)</f>
        <v>0</v>
      </c>
      <c r="G139" s="34" t="e">
        <f t="shared" si="29"/>
        <v>#DIV/0!</v>
      </c>
      <c r="H139" s="32"/>
      <c r="I139" s="33"/>
      <c r="J139" s="45">
        <f>IFERROR(D139/D8,"")</f>
        <v>0</v>
      </c>
      <c r="K139" s="26" t="str">
        <f t="shared" si="30"/>
        <v/>
      </c>
      <c r="L139" s="24">
        <f>IFERROR(F139/D8,"")</f>
        <v>0</v>
      </c>
      <c r="M139" s="26" t="str">
        <f t="shared" si="31"/>
        <v/>
      </c>
    </row>
    <row r="140" spans="2:13" x14ac:dyDescent="0.55000000000000004">
      <c r="B140" s="31"/>
      <c r="C140" s="47" t="s">
        <v>174</v>
      </c>
      <c r="D140" s="33">
        <f>SUMIFS(database!P:P,database!F:F,calc!$C$134,database!J:J,C140,database!B:B,Dashboard!#REF!)</f>
        <v>0</v>
      </c>
      <c r="E140" s="34" t="e">
        <f t="shared" si="28"/>
        <v>#DIV/0!</v>
      </c>
      <c r="F140" s="35">
        <f>SUMIFS(database!Q:Q,database!F:F,$C$134,database!J:J,calc!C140,database!B:B,Dashboard!#REF!)</f>
        <v>0</v>
      </c>
      <c r="G140" s="34" t="e">
        <f t="shared" si="29"/>
        <v>#DIV/0!</v>
      </c>
      <c r="H140" s="32"/>
      <c r="I140" s="33"/>
      <c r="J140" s="45" t="str">
        <f>IFERROR(D140/D9,"")</f>
        <v/>
      </c>
      <c r="K140" s="26" t="str">
        <f t="shared" si="30"/>
        <v/>
      </c>
      <c r="L140" s="24" t="str">
        <f>IFERROR(F140/D9,"")</f>
        <v/>
      </c>
      <c r="M140" s="26" t="str">
        <f t="shared" si="31"/>
        <v/>
      </c>
    </row>
    <row r="141" spans="2:13" x14ac:dyDescent="0.55000000000000004">
      <c r="B141" s="31"/>
      <c r="C141" s="47" t="s">
        <v>175</v>
      </c>
      <c r="D141" s="33">
        <f>SUMIFS(database!P:P,database!F:F,calc!$C$134,database!J:J,C141,database!B:B,Dashboard!#REF!)</f>
        <v>0</v>
      </c>
      <c r="E141" s="34" t="e">
        <f t="shared" si="28"/>
        <v>#DIV/0!</v>
      </c>
      <c r="F141" s="35">
        <f>SUMIFS(database!Q:Q,database!F:F,$C$134,database!J:J,calc!C141,database!B:B,Dashboard!#REF!)</f>
        <v>0</v>
      </c>
      <c r="G141" s="34" t="e">
        <f t="shared" si="29"/>
        <v>#DIV/0!</v>
      </c>
      <c r="H141" s="32"/>
      <c r="I141" s="33"/>
      <c r="J141" s="45">
        <f>IFERROR(D141/D10,"")</f>
        <v>0</v>
      </c>
      <c r="K141" s="26" t="str">
        <f t="shared" si="30"/>
        <v/>
      </c>
      <c r="L141" s="24">
        <f>IFERROR(F141/D10,"")</f>
        <v>0</v>
      </c>
      <c r="M141" s="26" t="str">
        <f t="shared" si="31"/>
        <v/>
      </c>
    </row>
    <row r="142" spans="2:13" x14ac:dyDescent="0.55000000000000004">
      <c r="B142" s="31"/>
      <c r="C142" s="47" t="s">
        <v>197</v>
      </c>
      <c r="D142" s="33">
        <f>SUMIFS(database!P:P,database!F:F,calc!$C$134,database!J:J,C142,database!B:B,Dashboard!#REF!)</f>
        <v>0</v>
      </c>
      <c r="E142" s="34" t="e">
        <f t="shared" si="28"/>
        <v>#DIV/0!</v>
      </c>
      <c r="F142" s="35">
        <f>SUMIFS(database!Q:Q,database!F:F,$C$134,database!J:J,calc!C142,database!B:B,Dashboard!#REF!)</f>
        <v>0</v>
      </c>
      <c r="G142" s="34" t="e">
        <f t="shared" si="29"/>
        <v>#DIV/0!</v>
      </c>
      <c r="H142" s="32"/>
      <c r="I142" s="33"/>
      <c r="J142" s="45">
        <f>IFERROR(D142/D11,"")</f>
        <v>0</v>
      </c>
      <c r="K142" s="26" t="str">
        <f t="shared" si="30"/>
        <v/>
      </c>
      <c r="L142" s="24">
        <f>IFERROR(F142/D11,"")</f>
        <v>0</v>
      </c>
      <c r="M142" s="26" t="str">
        <f t="shared" si="31"/>
        <v/>
      </c>
    </row>
    <row r="143" spans="2:13" x14ac:dyDescent="0.55000000000000004">
      <c r="B143" s="31"/>
      <c r="C143" s="47" t="s">
        <v>176</v>
      </c>
      <c r="D143" s="33">
        <f>SUMIFS(database!P:P,database!F:F,calc!$C$134,database!J:J,C143,database!B:B,Dashboard!#REF!)</f>
        <v>0</v>
      </c>
      <c r="E143" s="34" t="e">
        <f t="shared" si="28"/>
        <v>#DIV/0!</v>
      </c>
      <c r="F143" s="35">
        <f>SUMIFS(database!Q:Q,database!F:F,$C$134,database!J:J,calc!C143,database!B:B,Dashboard!#REF!)</f>
        <v>0</v>
      </c>
      <c r="G143" s="34" t="e">
        <f t="shared" si="29"/>
        <v>#DIV/0!</v>
      </c>
      <c r="H143" s="32"/>
      <c r="I143" s="33"/>
      <c r="J143" s="45" t="str">
        <f>IFERROR(D143/D12,"")</f>
        <v/>
      </c>
      <c r="K143" s="26" t="str">
        <f t="shared" si="30"/>
        <v/>
      </c>
      <c r="L143" s="24" t="str">
        <f>IFERROR(F143/D12,"")</f>
        <v/>
      </c>
      <c r="M143" s="26" t="str">
        <f t="shared" si="31"/>
        <v/>
      </c>
    </row>
    <row r="144" spans="2:13" x14ac:dyDescent="0.55000000000000004">
      <c r="B144" s="31"/>
      <c r="C144" s="47" t="s">
        <v>177</v>
      </c>
      <c r="D144" s="33">
        <f>SUMIFS(database!P:P,database!F:F,calc!$C$134,database!J:J,C144,database!B:B,Dashboard!#REF!)</f>
        <v>0</v>
      </c>
      <c r="E144" s="34" t="e">
        <f t="shared" si="28"/>
        <v>#DIV/0!</v>
      </c>
      <c r="F144" s="35">
        <f>SUMIFS(database!Q:Q,database!F:F,$C$134,database!J:J,calc!C144,database!B:B,Dashboard!#REF!)</f>
        <v>0</v>
      </c>
      <c r="G144" s="34" t="e">
        <f t="shared" si="29"/>
        <v>#DIV/0!</v>
      </c>
      <c r="H144" s="32"/>
      <c r="I144" s="33"/>
      <c r="J144" s="45">
        <f>IFERROR(D144/D13,"")</f>
        <v>0</v>
      </c>
      <c r="K144" s="26" t="str">
        <f t="shared" si="30"/>
        <v/>
      </c>
      <c r="L144" s="24">
        <f>IFERROR(F144/D13,"")</f>
        <v>0</v>
      </c>
      <c r="M144" s="26" t="str">
        <f t="shared" si="31"/>
        <v/>
      </c>
    </row>
    <row r="145" spans="2:13" x14ac:dyDescent="0.55000000000000004">
      <c r="B145" s="31"/>
      <c r="C145" s="47" t="s">
        <v>178</v>
      </c>
      <c r="D145" s="33">
        <f>SUMIFS(database!P:P,database!F:F,calc!$C$134,database!J:J,C145,database!B:B,Dashboard!#REF!)</f>
        <v>0</v>
      </c>
      <c r="E145" s="34" t="e">
        <f t="shared" si="28"/>
        <v>#DIV/0!</v>
      </c>
      <c r="F145" s="35">
        <f>SUMIFS(database!Q:Q,database!F:F,$C$134,database!J:J,calc!C145,database!B:B,Dashboard!#REF!)</f>
        <v>0</v>
      </c>
      <c r="G145" s="34" t="e">
        <f t="shared" si="29"/>
        <v>#DIV/0!</v>
      </c>
      <c r="H145" s="32"/>
      <c r="I145" s="33"/>
      <c r="J145" s="45" t="str">
        <f>IFERROR(D145/D14,"")</f>
        <v/>
      </c>
      <c r="K145" s="26" t="str">
        <f t="shared" si="30"/>
        <v/>
      </c>
      <c r="L145" s="24" t="str">
        <f>IFERROR(F145/D14,"")</f>
        <v/>
      </c>
      <c r="M145" s="26" t="str">
        <f t="shared" si="31"/>
        <v/>
      </c>
    </row>
    <row r="146" spans="2:13" x14ac:dyDescent="0.55000000000000004">
      <c r="B146" s="31"/>
      <c r="C146" s="47" t="s">
        <v>179</v>
      </c>
      <c r="D146" s="33">
        <f>SUMIFS(database!P:P,database!F:F,calc!$C$134,database!J:J,C146,database!B:B,Dashboard!#REF!)</f>
        <v>0</v>
      </c>
      <c r="E146" s="34" t="e">
        <f t="shared" si="28"/>
        <v>#DIV/0!</v>
      </c>
      <c r="F146" s="35">
        <f>SUMIFS(database!Q:Q,database!F:F,$C$134,database!J:J,calc!C146,database!B:B,Dashboard!#REF!)</f>
        <v>0</v>
      </c>
      <c r="G146" s="34" t="e">
        <f t="shared" si="29"/>
        <v>#DIV/0!</v>
      </c>
      <c r="H146" s="32"/>
      <c r="I146" s="33"/>
      <c r="J146" s="45">
        <f>IFERROR(D146/D15,"")</f>
        <v>0</v>
      </c>
      <c r="K146" s="26" t="str">
        <f t="shared" si="30"/>
        <v/>
      </c>
      <c r="L146" s="24">
        <f>IFERROR(F146/D15,"")</f>
        <v>0</v>
      </c>
      <c r="M146" s="26" t="str">
        <f t="shared" si="31"/>
        <v/>
      </c>
    </row>
    <row r="147" spans="2:13" x14ac:dyDescent="0.55000000000000004">
      <c r="B147" s="31"/>
      <c r="C147" s="47" t="s">
        <v>180</v>
      </c>
      <c r="D147" s="33">
        <f>SUMIFS(database!P:P,database!F:F,calc!$C$134,database!J:J,C147,database!B:B,Dashboard!#REF!)</f>
        <v>0</v>
      </c>
      <c r="E147" s="34" t="e">
        <f t="shared" si="28"/>
        <v>#DIV/0!</v>
      </c>
      <c r="F147" s="35">
        <f>SUMIFS(database!Q:Q,database!F:F,$C$134,database!J:J,calc!C147,database!B:B,Dashboard!#REF!)</f>
        <v>0</v>
      </c>
      <c r="G147" s="34" t="e">
        <f t="shared" si="29"/>
        <v>#DIV/0!</v>
      </c>
      <c r="H147" s="32"/>
      <c r="I147" s="33"/>
      <c r="J147" s="45">
        <f>IFERROR(D147/D16,"")</f>
        <v>0</v>
      </c>
      <c r="K147" s="26" t="str">
        <f t="shared" si="30"/>
        <v/>
      </c>
      <c r="L147" s="24">
        <f>IFERROR(F147/D16,"")</f>
        <v>0</v>
      </c>
      <c r="M147" s="26" t="str">
        <f t="shared" si="31"/>
        <v/>
      </c>
    </row>
    <row r="148" spans="2:13" x14ac:dyDescent="0.55000000000000004">
      <c r="B148" s="31"/>
      <c r="C148" s="47" t="s">
        <v>181</v>
      </c>
      <c r="D148" s="33">
        <f>SUMIFS(database!P:P,database!F:F,calc!$C$134,database!J:J,C148,database!B:B,Dashboard!#REF!)</f>
        <v>0</v>
      </c>
      <c r="E148" s="34" t="e">
        <f t="shared" si="28"/>
        <v>#DIV/0!</v>
      </c>
      <c r="F148" s="35">
        <f>SUMIFS(database!Q:Q,database!F:F,$C$134,database!J:J,calc!C148,database!B:B,Dashboard!#REF!)</f>
        <v>0</v>
      </c>
      <c r="G148" s="34" t="e">
        <f t="shared" si="29"/>
        <v>#DIV/0!</v>
      </c>
      <c r="H148" s="32"/>
      <c r="I148" s="33"/>
      <c r="J148" s="45">
        <f>IFERROR(D148/D17,"")</f>
        <v>0</v>
      </c>
      <c r="K148" s="26" t="str">
        <f t="shared" si="30"/>
        <v/>
      </c>
      <c r="L148" s="24">
        <f>IFERROR(F148/D17,"")</f>
        <v>0</v>
      </c>
      <c r="M148" s="26" t="str">
        <f t="shared" si="31"/>
        <v/>
      </c>
    </row>
    <row r="149" spans="2:13" x14ac:dyDescent="0.55000000000000004">
      <c r="B149" s="31"/>
      <c r="C149" s="47" t="s">
        <v>182</v>
      </c>
      <c r="D149" s="33">
        <f>SUMIFS(database!P:P,database!F:F,calc!$C$134,database!J:J,C149,database!B:B,Dashboard!#REF!)</f>
        <v>0</v>
      </c>
      <c r="E149" s="34" t="e">
        <f t="shared" si="28"/>
        <v>#DIV/0!</v>
      </c>
      <c r="F149" s="35">
        <f>SUMIFS(database!Q:Q,database!F:F,$C$134,database!J:J,calc!C149,database!B:B,Dashboard!#REF!)</f>
        <v>0</v>
      </c>
      <c r="G149" s="34" t="e">
        <f t="shared" si="29"/>
        <v>#DIV/0!</v>
      </c>
      <c r="H149" s="32"/>
      <c r="I149" s="33"/>
      <c r="J149" s="45">
        <f>IFERROR(D149/D18,"")</f>
        <v>0</v>
      </c>
      <c r="K149" s="26" t="str">
        <f t="shared" si="30"/>
        <v/>
      </c>
      <c r="L149" s="24">
        <f>IFERROR(F149/D18,"")</f>
        <v>0</v>
      </c>
      <c r="M149" s="26" t="str">
        <f t="shared" si="31"/>
        <v/>
      </c>
    </row>
    <row r="150" spans="2:13" x14ac:dyDescent="0.55000000000000004">
      <c r="B150" s="31"/>
      <c r="C150" s="47" t="s">
        <v>183</v>
      </c>
      <c r="D150" s="33">
        <f>SUMIFS(database!P:P,database!F:F,calc!$C$134,database!J:J,C150,database!B:B,Dashboard!#REF!)</f>
        <v>0</v>
      </c>
      <c r="E150" s="34" t="e">
        <f t="shared" si="28"/>
        <v>#DIV/0!</v>
      </c>
      <c r="F150" s="35">
        <f>SUMIFS(database!Q:Q,database!F:F,$C$134,database!J:J,calc!C150,database!B:B,Dashboard!#REF!)</f>
        <v>0</v>
      </c>
      <c r="G150" s="34" t="e">
        <f t="shared" si="29"/>
        <v>#DIV/0!</v>
      </c>
      <c r="H150" s="32"/>
      <c r="I150" s="33"/>
      <c r="J150" s="45" t="str">
        <f>IFERROR(D150/D19,"")</f>
        <v/>
      </c>
      <c r="K150" s="26" t="str">
        <f t="shared" si="30"/>
        <v/>
      </c>
      <c r="L150" s="24" t="str">
        <f>IFERROR(F150/D19,"")</f>
        <v/>
      </c>
      <c r="M150" s="26" t="str">
        <f t="shared" si="31"/>
        <v/>
      </c>
    </row>
    <row r="151" spans="2:13" x14ac:dyDescent="0.55000000000000004">
      <c r="B151" s="31"/>
      <c r="C151" s="47" t="s">
        <v>184</v>
      </c>
      <c r="D151" s="33">
        <f>SUMIFS(database!P:P,database!F:F,calc!$C$134,database!J:J,C151,database!B:B,Dashboard!#REF!)</f>
        <v>0</v>
      </c>
      <c r="E151" s="34" t="e">
        <f t="shared" si="28"/>
        <v>#DIV/0!</v>
      </c>
      <c r="F151" s="35">
        <f>SUMIFS(database!Q:Q,database!F:F,$C$134,database!J:J,calc!C151,database!B:B,Dashboard!#REF!)</f>
        <v>0</v>
      </c>
      <c r="G151" s="34" t="e">
        <f t="shared" si="29"/>
        <v>#DIV/0!</v>
      </c>
      <c r="H151" s="32"/>
      <c r="I151" s="33"/>
      <c r="J151" s="45" t="str">
        <f>IFERROR(D151/D20,"")</f>
        <v/>
      </c>
      <c r="K151" s="26" t="str">
        <f t="shared" si="30"/>
        <v/>
      </c>
      <c r="L151" s="24" t="str">
        <f>IFERROR(F151/D20,"")</f>
        <v/>
      </c>
      <c r="M151" s="26" t="str">
        <f t="shared" si="31"/>
        <v/>
      </c>
    </row>
    <row r="152" spans="2:13" x14ac:dyDescent="0.55000000000000004">
      <c r="B152" s="31"/>
      <c r="C152" s="47" t="s">
        <v>185</v>
      </c>
      <c r="D152" s="33">
        <f>SUMIFS(database!P:P,database!F:F,calc!$C$134,database!J:J,C152,database!B:B,Dashboard!#REF!)</f>
        <v>0</v>
      </c>
      <c r="E152" s="34" t="e">
        <f t="shared" si="28"/>
        <v>#DIV/0!</v>
      </c>
      <c r="F152" s="35">
        <f>SUMIFS(database!Q:Q,database!F:F,$C$134,database!J:J,calc!C152,database!B:B,Dashboard!#REF!)</f>
        <v>0</v>
      </c>
      <c r="G152" s="34" t="e">
        <f t="shared" si="29"/>
        <v>#DIV/0!</v>
      </c>
      <c r="H152" s="32"/>
      <c r="I152" s="33"/>
      <c r="J152" s="45">
        <f>IFERROR(D152/D21,"")</f>
        <v>0</v>
      </c>
      <c r="K152" s="26" t="str">
        <f t="shared" si="30"/>
        <v/>
      </c>
      <c r="L152" s="24">
        <f>IFERROR(F152/D21,"")</f>
        <v>0</v>
      </c>
      <c r="M152" s="26" t="str">
        <f t="shared" si="31"/>
        <v/>
      </c>
    </row>
    <row r="153" spans="2:13" x14ac:dyDescent="0.55000000000000004">
      <c r="B153" s="31"/>
      <c r="C153" s="47" t="s">
        <v>169</v>
      </c>
      <c r="D153" s="33">
        <f>SUMIFS(database!P:P,database!F:F,calc!$C$134,database!J:J,C153,database!B:B,Dashboard!#REF!)</f>
        <v>0</v>
      </c>
      <c r="E153" s="34" t="e">
        <f t="shared" si="28"/>
        <v>#DIV/0!</v>
      </c>
      <c r="F153" s="35">
        <f>SUMIFS(database!Q:Q,database!F:F,$C$134,database!J:J,calc!C153,database!B:B,Dashboard!#REF!)</f>
        <v>0</v>
      </c>
      <c r="G153" s="34" t="e">
        <f t="shared" si="29"/>
        <v>#DIV/0!</v>
      </c>
      <c r="H153" s="32"/>
      <c r="I153" s="33"/>
      <c r="J153" s="45" t="str">
        <f>IFERROR(D153/D22,"")</f>
        <v/>
      </c>
      <c r="K153" s="26" t="str">
        <f t="shared" si="30"/>
        <v/>
      </c>
      <c r="L153" s="24" t="str">
        <f>IFERROR(F153/D22,"")</f>
        <v/>
      </c>
      <c r="M153" s="26" t="str">
        <f t="shared" si="31"/>
        <v/>
      </c>
    </row>
    <row r="154" spans="2:13" ht="24" x14ac:dyDescent="0.55000000000000004">
      <c r="B154" s="31"/>
      <c r="C154" s="21" t="s">
        <v>136</v>
      </c>
      <c r="D154" s="21">
        <f>SUM(D136:D153)</f>
        <v>0</v>
      </c>
      <c r="E154" s="23" t="e">
        <f>SUM(E136:E153)</f>
        <v>#DIV/0!</v>
      </c>
      <c r="F154" s="25">
        <f>SUM(F136:F153)</f>
        <v>0</v>
      </c>
      <c r="G154" s="23" t="e">
        <f>SUM(G136:G153)</f>
        <v>#DIV/0!</v>
      </c>
      <c r="H154" s="32"/>
      <c r="I154" s="33"/>
      <c r="J154" s="46">
        <f>SUM(J136:J153)</f>
        <v>0</v>
      </c>
      <c r="K154" s="23">
        <f>SUM(K136:K153)</f>
        <v>0</v>
      </c>
      <c r="L154" s="25">
        <f>SUM(L136:L153)</f>
        <v>0</v>
      </c>
      <c r="M154" s="23">
        <f>SUM(M136:M153)</f>
        <v>0</v>
      </c>
    </row>
    <row r="155" spans="2:13" x14ac:dyDescent="0.55000000000000004">
      <c r="B155" s="31"/>
      <c r="C155" s="33"/>
      <c r="D155" s="33"/>
      <c r="E155" s="33"/>
      <c r="F155" s="33"/>
      <c r="G155" s="33"/>
      <c r="H155" s="32"/>
      <c r="I155" s="33"/>
    </row>
    <row r="156" spans="2:13" x14ac:dyDescent="0.55000000000000004">
      <c r="B156" s="31"/>
      <c r="C156" s="33"/>
      <c r="D156" s="33"/>
      <c r="E156" s="33"/>
      <c r="F156" s="33"/>
      <c r="G156" s="33"/>
      <c r="H156" s="32"/>
      <c r="I156" s="33"/>
    </row>
    <row r="157" spans="2:13" ht="26.25" x14ac:dyDescent="0.55000000000000004">
      <c r="B157" s="31"/>
      <c r="C157" s="52" t="s">
        <v>4</v>
      </c>
      <c r="D157" s="52"/>
      <c r="E157" s="52"/>
      <c r="F157" s="52"/>
      <c r="G157" s="52"/>
      <c r="H157" s="32"/>
      <c r="I157" s="33"/>
    </row>
    <row r="158" spans="2:13" ht="24" x14ac:dyDescent="0.55000000000000004">
      <c r="B158" s="31"/>
      <c r="C158" s="8" t="s">
        <v>96</v>
      </c>
      <c r="D158" s="8" t="s">
        <v>162</v>
      </c>
      <c r="E158" s="8" t="s">
        <v>160</v>
      </c>
      <c r="F158" s="8" t="s">
        <v>115</v>
      </c>
      <c r="G158" s="8" t="s">
        <v>116</v>
      </c>
      <c r="H158" s="32"/>
      <c r="I158" s="33"/>
      <c r="J158" s="8" t="s">
        <v>163</v>
      </c>
      <c r="K158" s="8" t="s">
        <v>164</v>
      </c>
      <c r="L158" s="8" t="s">
        <v>165</v>
      </c>
      <c r="M158" s="8" t="s">
        <v>166</v>
      </c>
    </row>
    <row r="159" spans="2:13" x14ac:dyDescent="0.55000000000000004">
      <c r="B159" s="31"/>
      <c r="C159" s="47" t="s">
        <v>189</v>
      </c>
      <c r="D159" s="33">
        <f>SUMIFS(database!P:P,database!F:F,calc!$C$157,database!J:J,C159,database!B:B,Dashboard!#REF!)</f>
        <v>0</v>
      </c>
      <c r="E159" s="34" t="str">
        <f>IFERROR(D159/$D$167,"")</f>
        <v/>
      </c>
      <c r="F159" s="35">
        <f>SUMIFS(database!Q:Q,database!F:F,$C$157,database!J:J,calc!C159,database!B:B,Dashboard!#REF!)</f>
        <v>0</v>
      </c>
      <c r="G159" s="34" t="str">
        <f>IFERROR(F159/$F$167,"")</f>
        <v/>
      </c>
      <c r="H159" s="32"/>
      <c r="I159" s="33"/>
      <c r="J159" s="45">
        <f>IFERROR(D159/D5,"")</f>
        <v>0</v>
      </c>
      <c r="K159" s="26" t="str">
        <f>IFERROR(J159/$J$167,"")</f>
        <v/>
      </c>
      <c r="L159" s="24" t="str">
        <f>IFERROR(F159/D28,"")</f>
        <v/>
      </c>
      <c r="M159" s="26" t="str">
        <f>IFERROR(L159/$L$167,"")</f>
        <v/>
      </c>
    </row>
    <row r="160" spans="2:13" x14ac:dyDescent="0.55000000000000004">
      <c r="B160" s="31"/>
      <c r="C160" s="47" t="s">
        <v>190</v>
      </c>
      <c r="D160" s="33">
        <f>SUMIFS(database!P:P,database!F:F,calc!$C$157,database!J:J,C160,database!B:B,Dashboard!#REF!)</f>
        <v>0</v>
      </c>
      <c r="E160" s="34" t="str">
        <f t="shared" ref="E160:E166" si="32">IFERROR(D160/$D$167,"")</f>
        <v/>
      </c>
      <c r="F160" s="35">
        <f>SUMIFS(database!Q:Q,database!F:F,$C$157,database!J:J,calc!C160,database!B:B,Dashboard!#REF!)</f>
        <v>0</v>
      </c>
      <c r="G160" s="34" t="str">
        <f t="shared" ref="G160:G166" si="33">IFERROR(F160/$F$167,"")</f>
        <v/>
      </c>
      <c r="H160" s="32"/>
      <c r="I160" s="33"/>
      <c r="J160" s="45">
        <f>IFERROR(D160/D6,"")</f>
        <v>0</v>
      </c>
      <c r="K160" s="26" t="str">
        <f t="shared" ref="K160:K166" si="34">IFERROR(J160/$J$167,"")</f>
        <v/>
      </c>
      <c r="L160" s="24" t="str">
        <f>IFERROR(F160/D29,"")</f>
        <v/>
      </c>
      <c r="M160" s="26" t="str">
        <f t="shared" ref="M160:M166" si="35">IFERROR(L160/$L$167,"")</f>
        <v/>
      </c>
    </row>
    <row r="161" spans="2:16" x14ac:dyDescent="0.55000000000000004">
      <c r="B161" s="31"/>
      <c r="C161" s="47" t="s">
        <v>191</v>
      </c>
      <c r="D161" s="33">
        <f>SUMIFS(database!P:P,database!F:F,calc!$C$157,database!J:J,C161,database!B:B,Dashboard!#REF!)</f>
        <v>0</v>
      </c>
      <c r="E161" s="34" t="str">
        <f t="shared" si="32"/>
        <v/>
      </c>
      <c r="F161" s="35">
        <f>SUMIFS(database!Q:Q,database!F:F,$C$157,database!J:J,calc!C161,database!B:B,Dashboard!#REF!)</f>
        <v>0</v>
      </c>
      <c r="G161" s="34" t="str">
        <f t="shared" si="33"/>
        <v/>
      </c>
      <c r="H161" s="32"/>
      <c r="I161" s="33"/>
      <c r="J161" s="45" t="str">
        <f>IFERROR(D161/D7,"")</f>
        <v/>
      </c>
      <c r="K161" s="26" t="str">
        <f t="shared" si="34"/>
        <v/>
      </c>
      <c r="L161" s="24" t="str">
        <f>IFERROR(F161/D30,"")</f>
        <v/>
      </c>
      <c r="M161" s="26" t="str">
        <f t="shared" si="35"/>
        <v/>
      </c>
    </row>
    <row r="162" spans="2:16" x14ac:dyDescent="0.55000000000000004">
      <c r="B162" s="31"/>
      <c r="C162" s="47" t="s">
        <v>192</v>
      </c>
      <c r="D162" s="33">
        <f>SUMIFS(database!P:P,database!F:F,calc!$C$157,database!J:J,C162,database!B:B,Dashboard!#REF!)</f>
        <v>0</v>
      </c>
      <c r="E162" s="34" t="str">
        <f t="shared" si="32"/>
        <v/>
      </c>
      <c r="F162" s="35">
        <f>SUMIFS(database!Q:Q,database!F:F,$C$157,database!J:J,calc!C162,database!B:B,Dashboard!#REF!)</f>
        <v>0</v>
      </c>
      <c r="G162" s="34" t="str">
        <f t="shared" si="33"/>
        <v/>
      </c>
      <c r="H162" s="32"/>
      <c r="I162" s="33"/>
      <c r="J162" s="45">
        <f>IFERROR(D162/D8,"")</f>
        <v>0</v>
      </c>
      <c r="K162" s="26" t="str">
        <f t="shared" si="34"/>
        <v/>
      </c>
      <c r="L162" s="24" t="str">
        <f>IFERROR(F162/D31,"")</f>
        <v/>
      </c>
      <c r="M162" s="26" t="str">
        <f t="shared" si="35"/>
        <v/>
      </c>
    </row>
    <row r="163" spans="2:16" x14ac:dyDescent="0.55000000000000004">
      <c r="B163" s="31"/>
      <c r="C163" s="47" t="s">
        <v>193</v>
      </c>
      <c r="D163" s="33">
        <f>SUMIFS(database!P:P,database!F:F,calc!$C$157,database!J:J,C163,database!B:B,Dashboard!#REF!)</f>
        <v>0</v>
      </c>
      <c r="E163" s="34" t="str">
        <f t="shared" si="32"/>
        <v/>
      </c>
      <c r="F163" s="35">
        <f>SUMIFS(database!Q:Q,database!F:F,$C$157,database!J:J,calc!C163,database!B:B,Dashboard!#REF!)</f>
        <v>0</v>
      </c>
      <c r="G163" s="34" t="str">
        <f t="shared" si="33"/>
        <v/>
      </c>
      <c r="H163" s="32"/>
      <c r="I163" s="33"/>
      <c r="J163" s="45" t="str">
        <f>IFERROR(D163/D9,"")</f>
        <v/>
      </c>
      <c r="K163" s="26" t="str">
        <f t="shared" si="34"/>
        <v/>
      </c>
      <c r="L163" s="24">
        <f>IFERROR(F163/D32,"")</f>
        <v>0</v>
      </c>
      <c r="M163" s="26" t="str">
        <f t="shared" si="35"/>
        <v/>
      </c>
    </row>
    <row r="164" spans="2:16" x14ac:dyDescent="0.55000000000000004">
      <c r="B164" s="31"/>
      <c r="C164" s="47" t="s">
        <v>196</v>
      </c>
      <c r="D164" s="33">
        <f>SUMIFS(database!P:P,database!F:F,calc!$C$157,database!J:J,C164,database!B:B,Dashboard!#REF!)</f>
        <v>0</v>
      </c>
      <c r="E164" s="34" t="str">
        <f t="shared" si="32"/>
        <v/>
      </c>
      <c r="F164" s="35">
        <f>SUMIFS(database!Q:Q,database!F:F,$C$157,database!J:J,calc!C164,database!B:B,Dashboard!#REF!)</f>
        <v>0</v>
      </c>
      <c r="G164" s="34" t="str">
        <f t="shared" si="33"/>
        <v/>
      </c>
      <c r="H164" s="32"/>
      <c r="I164" s="33"/>
      <c r="J164" s="45">
        <f>IFERROR(D164/D10,"")</f>
        <v>0</v>
      </c>
      <c r="K164" s="26" t="str">
        <f t="shared" si="34"/>
        <v/>
      </c>
      <c r="L164" s="24" t="str">
        <f>IFERROR(F164/D33,"")</f>
        <v/>
      </c>
      <c r="M164" s="26" t="str">
        <f t="shared" si="35"/>
        <v/>
      </c>
    </row>
    <row r="165" spans="2:16" x14ac:dyDescent="0.55000000000000004">
      <c r="B165" s="31"/>
      <c r="C165" s="47" t="s">
        <v>194</v>
      </c>
      <c r="D165" s="33">
        <f>SUMIFS(database!P:P,database!F:F,calc!$C$157,database!J:J,C165,database!B:B,Dashboard!#REF!)</f>
        <v>0</v>
      </c>
      <c r="E165" s="34" t="str">
        <f t="shared" si="32"/>
        <v/>
      </c>
      <c r="F165" s="35">
        <f>SUMIFS(database!Q:Q,database!F:F,$C$157,database!J:J,calc!C165,database!B:B,Dashboard!#REF!)</f>
        <v>0</v>
      </c>
      <c r="G165" s="34" t="str">
        <f t="shared" si="33"/>
        <v/>
      </c>
      <c r="H165" s="32"/>
      <c r="I165" s="33"/>
      <c r="J165" s="45">
        <f>IFERROR(D165/D11,"")</f>
        <v>0</v>
      </c>
      <c r="K165" s="26" t="str">
        <f t="shared" si="34"/>
        <v/>
      </c>
      <c r="L165" s="24">
        <f>IFERROR(F165/D34,"")</f>
        <v>0</v>
      </c>
      <c r="M165" s="26" t="str">
        <f t="shared" si="35"/>
        <v/>
      </c>
    </row>
    <row r="166" spans="2:16" x14ac:dyDescent="0.55000000000000004">
      <c r="B166" s="31"/>
      <c r="C166" s="47" t="s">
        <v>195</v>
      </c>
      <c r="D166" s="33">
        <f>SUMIFS(database!P:P,database!F:F,calc!$C$157,database!J:J,C166,database!B:B,Dashboard!#REF!)</f>
        <v>0</v>
      </c>
      <c r="E166" s="34" t="str">
        <f t="shared" si="32"/>
        <v/>
      </c>
      <c r="F166" s="35">
        <f>SUMIFS(database!Q:Q,database!F:F,$C$157,database!J:J,calc!C166,database!B:B,Dashboard!#REF!)</f>
        <v>0</v>
      </c>
      <c r="G166" s="34" t="str">
        <f t="shared" si="33"/>
        <v/>
      </c>
      <c r="H166" s="32"/>
      <c r="I166" s="33"/>
      <c r="J166" s="45" t="str">
        <f>IFERROR(D166/D12,"")</f>
        <v/>
      </c>
      <c r="K166" s="26" t="str">
        <f t="shared" si="34"/>
        <v/>
      </c>
      <c r="L166" s="24">
        <f>IFERROR(F166/D35,"")</f>
        <v>0</v>
      </c>
      <c r="M166" s="26" t="str">
        <f t="shared" si="35"/>
        <v/>
      </c>
    </row>
    <row r="167" spans="2:16" ht="24" x14ac:dyDescent="0.55000000000000004">
      <c r="B167" s="31"/>
      <c r="C167" s="21" t="s">
        <v>136</v>
      </c>
      <c r="D167" s="21">
        <f>SUM(D159:D166)</f>
        <v>0</v>
      </c>
      <c r="E167" s="23">
        <f>SUM(E159:E166)</f>
        <v>0</v>
      </c>
      <c r="F167" s="25">
        <f t="shared" ref="F167" si="36">SUM(F159:F166)</f>
        <v>0</v>
      </c>
      <c r="G167" s="23">
        <f>SUM(G159:G166)</f>
        <v>0</v>
      </c>
      <c r="H167" s="32"/>
      <c r="I167" s="33"/>
      <c r="J167" s="21">
        <f>SUM(J159:J166)</f>
        <v>0</v>
      </c>
      <c r="K167" s="23">
        <f>SUM(K159:K166)</f>
        <v>0</v>
      </c>
      <c r="L167" s="25">
        <f t="shared" ref="L167" si="37">SUM(L159:L166)</f>
        <v>0</v>
      </c>
      <c r="M167" s="23">
        <f t="shared" ref="M167" si="38">SUM(M159:M166)</f>
        <v>0</v>
      </c>
    </row>
    <row r="168" spans="2:16" ht="23.25" thickBot="1" x14ac:dyDescent="0.6">
      <c r="B168" s="37"/>
      <c r="C168" s="38"/>
      <c r="D168" s="38"/>
      <c r="E168" s="38"/>
      <c r="F168" s="38"/>
      <c r="G168" s="38"/>
      <c r="H168" s="39"/>
      <c r="I168" s="33"/>
    </row>
    <row r="169" spans="2:16" x14ac:dyDescent="0.55000000000000004">
      <c r="I169" s="33"/>
    </row>
    <row r="170" spans="2:16" x14ac:dyDescent="0.55000000000000004">
      <c r="I170" s="33"/>
    </row>
    <row r="171" spans="2:16" ht="23.25" thickBot="1" x14ac:dyDescent="0.6">
      <c r="C171" s="53" t="s">
        <v>146</v>
      </c>
      <c r="I171" s="33"/>
      <c r="P171" s="24"/>
    </row>
    <row r="172" spans="2:16" x14ac:dyDescent="0.55000000000000004">
      <c r="B172" s="28"/>
      <c r="C172" s="53"/>
      <c r="D172" s="29"/>
      <c r="E172" s="29"/>
      <c r="F172" s="29"/>
      <c r="G172" s="29"/>
      <c r="H172" s="30"/>
      <c r="P172" s="24"/>
    </row>
    <row r="173" spans="2:16" ht="26.25" x14ac:dyDescent="0.55000000000000004">
      <c r="B173" s="31"/>
      <c r="C173" s="54" t="s">
        <v>3</v>
      </c>
      <c r="D173" s="54"/>
      <c r="E173" s="54"/>
      <c r="F173" s="54"/>
      <c r="G173" s="54"/>
      <c r="H173" s="32"/>
      <c r="P173" s="24"/>
    </row>
    <row r="174" spans="2:16" ht="24" x14ac:dyDescent="0.55000000000000004">
      <c r="B174" s="31"/>
      <c r="C174" s="8" t="s">
        <v>96</v>
      </c>
      <c r="D174" s="8"/>
      <c r="E174" s="8"/>
      <c r="F174" s="8" t="s">
        <v>115</v>
      </c>
      <c r="G174" s="8" t="s">
        <v>116</v>
      </c>
      <c r="H174" s="32"/>
      <c r="J174" s="8" t="s">
        <v>165</v>
      </c>
      <c r="K174" s="8" t="s">
        <v>166</v>
      </c>
      <c r="P174" s="24"/>
    </row>
    <row r="175" spans="2:16" x14ac:dyDescent="0.55000000000000004">
      <c r="B175" s="31"/>
      <c r="C175" s="47" t="s">
        <v>170</v>
      </c>
      <c r="D175" s="33"/>
      <c r="E175" s="34"/>
      <c r="F175" s="35">
        <f>SUMIFS(database!R:R,database!F:F,calc!$C$173,database!J:J,calc!C175,database!B:B,Dashboard!#REF!)</f>
        <v>0</v>
      </c>
      <c r="G175" s="34" t="e">
        <f t="shared" ref="G175:G179" si="39">F175/$F$193</f>
        <v>#DIV/0!</v>
      </c>
      <c r="H175" s="32"/>
      <c r="I175" s="33"/>
      <c r="J175" s="24">
        <f>IFERROR(F175/D5,"")</f>
        <v>0</v>
      </c>
      <c r="K175" s="26" t="str">
        <f>IFERROR(J175/$J$193,"")</f>
        <v/>
      </c>
      <c r="P175" s="24"/>
    </row>
    <row r="176" spans="2:16" x14ac:dyDescent="0.55000000000000004">
      <c r="B176" s="31"/>
      <c r="C176" s="47" t="s">
        <v>171</v>
      </c>
      <c r="D176" s="33"/>
      <c r="E176" s="34"/>
      <c r="F176" s="35">
        <f>SUMIFS(database!R:R,database!F:F,calc!$C$173,database!J:J,calc!C176,database!B:B,Dashboard!#REF!)</f>
        <v>0</v>
      </c>
      <c r="G176" s="34" t="e">
        <f t="shared" si="39"/>
        <v>#DIV/0!</v>
      </c>
      <c r="H176" s="32"/>
      <c r="I176" s="33"/>
      <c r="J176" s="24">
        <f>IFERROR(F176/D6,"")</f>
        <v>0</v>
      </c>
      <c r="K176" s="26" t="str">
        <f t="shared" ref="K176:K192" si="40">IFERROR(J176/$J$193,"")</f>
        <v/>
      </c>
      <c r="P176" s="24"/>
    </row>
    <row r="177" spans="2:16" x14ac:dyDescent="0.55000000000000004">
      <c r="B177" s="31"/>
      <c r="C177" s="47" t="s">
        <v>172</v>
      </c>
      <c r="D177" s="33"/>
      <c r="E177" s="34"/>
      <c r="F177" s="35">
        <f>SUMIFS(database!R:R,database!F:F,calc!$C$173,database!J:J,calc!C177,database!B:B,Dashboard!#REF!)</f>
        <v>0</v>
      </c>
      <c r="G177" s="34" t="e">
        <f t="shared" si="39"/>
        <v>#DIV/0!</v>
      </c>
      <c r="H177" s="32"/>
      <c r="I177" s="33"/>
      <c r="J177" s="24" t="str">
        <f>IFERROR(F177/D7,"")</f>
        <v/>
      </c>
      <c r="K177" s="26" t="str">
        <f t="shared" si="40"/>
        <v/>
      </c>
      <c r="P177" s="24"/>
    </row>
    <row r="178" spans="2:16" x14ac:dyDescent="0.55000000000000004">
      <c r="B178" s="31"/>
      <c r="C178" s="47" t="s">
        <v>173</v>
      </c>
      <c r="D178" s="33"/>
      <c r="E178" s="34"/>
      <c r="F178" s="35">
        <f>SUMIFS(database!R:R,database!F:F,calc!$C$173,database!J:J,calc!C178,database!B:B,Dashboard!#REF!)</f>
        <v>0</v>
      </c>
      <c r="G178" s="34" t="e">
        <f t="shared" si="39"/>
        <v>#DIV/0!</v>
      </c>
      <c r="H178" s="32"/>
      <c r="I178" s="33"/>
      <c r="J178" s="24">
        <f>IFERROR(F178/D8,"")</f>
        <v>0</v>
      </c>
      <c r="K178" s="26" t="str">
        <f t="shared" si="40"/>
        <v/>
      </c>
      <c r="P178" s="24"/>
    </row>
    <row r="179" spans="2:16" x14ac:dyDescent="0.55000000000000004">
      <c r="B179" s="31"/>
      <c r="C179" s="47" t="s">
        <v>174</v>
      </c>
      <c r="D179" s="33"/>
      <c r="E179" s="34"/>
      <c r="F179" s="35">
        <f>SUMIFS(database!R:R,database!F:F,calc!$C$173,database!J:J,calc!C179,database!B:B,Dashboard!#REF!)</f>
        <v>0</v>
      </c>
      <c r="G179" s="34" t="e">
        <f t="shared" si="39"/>
        <v>#DIV/0!</v>
      </c>
      <c r="H179" s="32"/>
      <c r="I179" s="33"/>
      <c r="J179" s="24" t="str">
        <f>IFERROR(F179/D9,"")</f>
        <v/>
      </c>
      <c r="K179" s="26" t="str">
        <f t="shared" si="40"/>
        <v/>
      </c>
      <c r="P179" s="24"/>
    </row>
    <row r="180" spans="2:16" x14ac:dyDescent="0.55000000000000004">
      <c r="B180" s="31"/>
      <c r="C180" s="47" t="s">
        <v>175</v>
      </c>
      <c r="D180" s="33"/>
      <c r="E180" s="34"/>
      <c r="F180" s="35">
        <f>SUMIFS(database!R:R,database!F:F,calc!$C$173,database!J:J,calc!C180,database!B:B,Dashboard!#REF!)</f>
        <v>0</v>
      </c>
      <c r="G180" s="34" t="e">
        <f>F180/$F$193</f>
        <v>#DIV/0!</v>
      </c>
      <c r="H180" s="32"/>
      <c r="I180" s="33"/>
      <c r="J180" s="24">
        <f>IFERROR(F180/D10,"")</f>
        <v>0</v>
      </c>
      <c r="K180" s="26" t="str">
        <f t="shared" si="40"/>
        <v/>
      </c>
      <c r="P180" s="24"/>
    </row>
    <row r="181" spans="2:16" x14ac:dyDescent="0.55000000000000004">
      <c r="B181" s="31"/>
      <c r="C181" s="47" t="s">
        <v>197</v>
      </c>
      <c r="D181" s="33"/>
      <c r="E181" s="34"/>
      <c r="F181" s="35">
        <f>SUMIFS(database!R:R,database!F:F,calc!$C$173,database!J:J,calc!C181,database!B:B,Dashboard!#REF!)</f>
        <v>0</v>
      </c>
      <c r="G181" s="34" t="e">
        <f t="shared" ref="G181:G192" si="41">F181/$F$193</f>
        <v>#DIV/0!</v>
      </c>
      <c r="H181" s="32"/>
      <c r="I181" s="33"/>
      <c r="J181" s="24">
        <f>IFERROR(F181/D11,"")</f>
        <v>0</v>
      </c>
      <c r="K181" s="26" t="str">
        <f t="shared" si="40"/>
        <v/>
      </c>
      <c r="P181" s="24"/>
    </row>
    <row r="182" spans="2:16" x14ac:dyDescent="0.55000000000000004">
      <c r="B182" s="31"/>
      <c r="C182" s="47" t="s">
        <v>176</v>
      </c>
      <c r="D182" s="33"/>
      <c r="E182" s="34"/>
      <c r="F182" s="35">
        <f>SUMIFS(database!R:R,database!F:F,calc!$C$173,database!J:J,calc!C182,database!B:B,Dashboard!#REF!)</f>
        <v>0</v>
      </c>
      <c r="G182" s="34" t="e">
        <f t="shared" si="41"/>
        <v>#DIV/0!</v>
      </c>
      <c r="H182" s="32"/>
      <c r="I182" s="33"/>
      <c r="J182" s="24" t="str">
        <f>IFERROR(F182/D12,"")</f>
        <v/>
      </c>
      <c r="K182" s="26" t="str">
        <f t="shared" si="40"/>
        <v/>
      </c>
      <c r="P182" s="24"/>
    </row>
    <row r="183" spans="2:16" x14ac:dyDescent="0.55000000000000004">
      <c r="B183" s="31"/>
      <c r="C183" s="47" t="s">
        <v>177</v>
      </c>
      <c r="D183" s="33"/>
      <c r="E183" s="34"/>
      <c r="F183" s="35">
        <f>SUMIFS(database!R:R,database!F:F,calc!$C$173,database!J:J,calc!C183,database!B:B,Dashboard!#REF!)</f>
        <v>0</v>
      </c>
      <c r="G183" s="34" t="e">
        <f t="shared" si="41"/>
        <v>#DIV/0!</v>
      </c>
      <c r="H183" s="32"/>
      <c r="I183" s="33"/>
      <c r="J183" s="24">
        <f>IFERROR(F183/D13,"")</f>
        <v>0</v>
      </c>
      <c r="K183" s="26" t="str">
        <f t="shared" si="40"/>
        <v/>
      </c>
      <c r="P183" s="24"/>
    </row>
    <row r="184" spans="2:16" x14ac:dyDescent="0.55000000000000004">
      <c r="B184" s="31"/>
      <c r="C184" s="47" t="s">
        <v>178</v>
      </c>
      <c r="D184" s="33"/>
      <c r="E184" s="34"/>
      <c r="F184" s="35">
        <f>SUMIFS(database!R:R,database!F:F,calc!$C$173,database!J:J,calc!C184,database!B:B,Dashboard!#REF!)</f>
        <v>0</v>
      </c>
      <c r="G184" s="34" t="e">
        <f t="shared" si="41"/>
        <v>#DIV/0!</v>
      </c>
      <c r="H184" s="32"/>
      <c r="I184" s="33"/>
      <c r="J184" s="24" t="str">
        <f>IFERROR(F184/D14,"")</f>
        <v/>
      </c>
      <c r="K184" s="26" t="str">
        <f t="shared" si="40"/>
        <v/>
      </c>
      <c r="P184" s="24"/>
    </row>
    <row r="185" spans="2:16" x14ac:dyDescent="0.55000000000000004">
      <c r="B185" s="31"/>
      <c r="C185" s="47" t="s">
        <v>179</v>
      </c>
      <c r="D185" s="33"/>
      <c r="E185" s="34"/>
      <c r="F185" s="35">
        <f>SUMIFS(database!R:R,database!F:F,calc!$C$173,database!J:J,calc!C185,database!B:B,Dashboard!#REF!)</f>
        <v>0</v>
      </c>
      <c r="G185" s="34" t="e">
        <f t="shared" si="41"/>
        <v>#DIV/0!</v>
      </c>
      <c r="H185" s="32"/>
      <c r="I185" s="33"/>
      <c r="J185" s="24">
        <f>IFERROR(F185/D15,"")</f>
        <v>0</v>
      </c>
      <c r="K185" s="26" t="str">
        <f t="shared" si="40"/>
        <v/>
      </c>
      <c r="P185" s="24"/>
    </row>
    <row r="186" spans="2:16" x14ac:dyDescent="0.55000000000000004">
      <c r="B186" s="31"/>
      <c r="C186" s="47" t="s">
        <v>180</v>
      </c>
      <c r="D186" s="33"/>
      <c r="E186" s="34"/>
      <c r="F186" s="35">
        <f>SUMIFS(database!R:R,database!F:F,calc!$C$173,database!J:J,calc!C186,database!B:B,Dashboard!#REF!)</f>
        <v>0</v>
      </c>
      <c r="G186" s="34" t="e">
        <f t="shared" si="41"/>
        <v>#DIV/0!</v>
      </c>
      <c r="H186" s="32"/>
      <c r="I186" s="33"/>
      <c r="J186" s="24">
        <f>IFERROR(F186/D16,"")</f>
        <v>0</v>
      </c>
      <c r="K186" s="26" t="str">
        <f t="shared" si="40"/>
        <v/>
      </c>
      <c r="P186" s="24"/>
    </row>
    <row r="187" spans="2:16" x14ac:dyDescent="0.55000000000000004">
      <c r="B187" s="31"/>
      <c r="C187" s="47" t="s">
        <v>181</v>
      </c>
      <c r="D187" s="33"/>
      <c r="E187" s="34"/>
      <c r="F187" s="35">
        <f>SUMIFS(database!R:R,database!F:F,calc!$C$173,database!J:J,calc!C187,database!B:B,Dashboard!#REF!)</f>
        <v>0</v>
      </c>
      <c r="G187" s="34" t="e">
        <f t="shared" si="41"/>
        <v>#DIV/0!</v>
      </c>
      <c r="H187" s="32"/>
      <c r="I187" s="33"/>
      <c r="J187" s="24">
        <f>IFERROR(F187/D17,"")</f>
        <v>0</v>
      </c>
      <c r="K187" s="26" t="str">
        <f t="shared" si="40"/>
        <v/>
      </c>
      <c r="P187" s="24"/>
    </row>
    <row r="188" spans="2:16" x14ac:dyDescent="0.55000000000000004">
      <c r="B188" s="31"/>
      <c r="C188" s="47" t="s">
        <v>182</v>
      </c>
      <c r="D188" s="33"/>
      <c r="E188" s="34"/>
      <c r="F188" s="35">
        <f>SUMIFS(database!R:R,database!F:F,calc!$C$173,database!J:J,calc!C188,database!B:B,Dashboard!#REF!)</f>
        <v>0</v>
      </c>
      <c r="G188" s="34" t="e">
        <f t="shared" si="41"/>
        <v>#DIV/0!</v>
      </c>
      <c r="H188" s="32"/>
      <c r="I188" s="33"/>
      <c r="J188" s="24">
        <f>IFERROR(F188/D18,"")</f>
        <v>0</v>
      </c>
      <c r="K188" s="26" t="str">
        <f t="shared" si="40"/>
        <v/>
      </c>
      <c r="P188" s="24"/>
    </row>
    <row r="189" spans="2:16" x14ac:dyDescent="0.55000000000000004">
      <c r="B189" s="31"/>
      <c r="C189" s="47" t="s">
        <v>183</v>
      </c>
      <c r="D189" s="33"/>
      <c r="E189" s="34"/>
      <c r="F189" s="35">
        <f>SUMIFS(database!R:R,database!F:F,calc!$C$173,database!J:J,calc!C189,database!B:B,Dashboard!#REF!)</f>
        <v>0</v>
      </c>
      <c r="G189" s="34" t="e">
        <f>F189/$F$193</f>
        <v>#DIV/0!</v>
      </c>
      <c r="H189" s="32"/>
      <c r="I189" s="33"/>
      <c r="J189" s="24" t="str">
        <f>IFERROR(F189/D19,"")</f>
        <v/>
      </c>
      <c r="K189" s="26" t="str">
        <f t="shared" si="40"/>
        <v/>
      </c>
      <c r="P189" s="24"/>
    </row>
    <row r="190" spans="2:16" x14ac:dyDescent="0.55000000000000004">
      <c r="B190" s="31"/>
      <c r="C190" s="47" t="s">
        <v>184</v>
      </c>
      <c r="D190" s="33"/>
      <c r="E190" s="34"/>
      <c r="F190" s="35">
        <f>SUMIFS(database!R:R,database!F:F,calc!$C$173,database!J:J,calc!C190,database!B:B,Dashboard!#REF!)</f>
        <v>0</v>
      </c>
      <c r="G190" s="34" t="e">
        <f t="shared" si="41"/>
        <v>#DIV/0!</v>
      </c>
      <c r="H190" s="32"/>
      <c r="I190" s="33"/>
      <c r="J190" s="24" t="str">
        <f>IFERROR(F190/D20,"")</f>
        <v/>
      </c>
      <c r="K190" s="26" t="str">
        <f t="shared" si="40"/>
        <v/>
      </c>
      <c r="P190" s="24"/>
    </row>
    <row r="191" spans="2:16" x14ac:dyDescent="0.55000000000000004">
      <c r="B191" s="31"/>
      <c r="C191" s="47" t="s">
        <v>185</v>
      </c>
      <c r="D191" s="33"/>
      <c r="E191" s="34"/>
      <c r="F191" s="35">
        <f>SUMIFS(database!R:R,database!F:F,calc!$C$173,database!J:J,calc!C191,database!B:B,Dashboard!#REF!)</f>
        <v>0</v>
      </c>
      <c r="G191" s="34" t="e">
        <f t="shared" si="41"/>
        <v>#DIV/0!</v>
      </c>
      <c r="H191" s="32"/>
      <c r="I191" s="33"/>
      <c r="J191" s="24">
        <f>IFERROR(F191/D21,"")</f>
        <v>0</v>
      </c>
      <c r="K191" s="26" t="str">
        <f t="shared" si="40"/>
        <v/>
      </c>
    </row>
    <row r="192" spans="2:16" x14ac:dyDescent="0.55000000000000004">
      <c r="B192" s="31"/>
      <c r="C192" s="47" t="s">
        <v>169</v>
      </c>
      <c r="D192" s="33"/>
      <c r="E192" s="34"/>
      <c r="F192" s="35">
        <f>SUMIFS(database!R:R,database!F:F,calc!$C$173,database!J:J,calc!C192,database!B:B,Dashboard!#REF!)</f>
        <v>0</v>
      </c>
      <c r="G192" s="34" t="e">
        <f t="shared" si="41"/>
        <v>#DIV/0!</v>
      </c>
      <c r="H192" s="32"/>
      <c r="I192" s="33"/>
      <c r="J192" s="24" t="str">
        <f>IFERROR(F192/D22,"")</f>
        <v/>
      </c>
      <c r="K192" s="26" t="str">
        <f t="shared" si="40"/>
        <v/>
      </c>
    </row>
    <row r="193" spans="2:16" ht="24" x14ac:dyDescent="0.55000000000000004">
      <c r="B193" s="31"/>
      <c r="C193" s="21" t="s">
        <v>136</v>
      </c>
      <c r="D193" s="21"/>
      <c r="E193" s="23"/>
      <c r="F193" s="25">
        <f>SUM(F175:F192)</f>
        <v>0</v>
      </c>
      <c r="G193" s="23" t="e">
        <f>SUM(G175:G192)</f>
        <v>#DIV/0!</v>
      </c>
      <c r="H193" s="32"/>
      <c r="I193" s="33"/>
      <c r="J193" s="25">
        <f>SUM(J175:J192)</f>
        <v>0</v>
      </c>
      <c r="K193" s="23">
        <f>SUM(K175:K192)</f>
        <v>0</v>
      </c>
    </row>
    <row r="194" spans="2:16" x14ac:dyDescent="0.55000000000000004">
      <c r="B194" s="31"/>
      <c r="C194" s="33"/>
      <c r="D194" s="33"/>
      <c r="E194" s="33"/>
      <c r="F194" s="33"/>
      <c r="G194" s="33"/>
      <c r="H194" s="32"/>
      <c r="I194" s="33"/>
      <c r="P194" s="24"/>
    </row>
    <row r="195" spans="2:16" x14ac:dyDescent="0.55000000000000004">
      <c r="B195" s="31"/>
      <c r="C195" s="33"/>
      <c r="D195" s="33"/>
      <c r="E195" s="33"/>
      <c r="F195" s="33"/>
      <c r="G195" s="33"/>
      <c r="H195" s="32"/>
      <c r="I195" s="33"/>
      <c r="P195" s="24"/>
    </row>
    <row r="196" spans="2:16" ht="26.25" x14ac:dyDescent="0.55000000000000004">
      <c r="B196" s="31"/>
      <c r="C196" s="54" t="s">
        <v>4</v>
      </c>
      <c r="D196" s="54"/>
      <c r="E196" s="54"/>
      <c r="F196" s="54"/>
      <c r="G196" s="54"/>
      <c r="H196" s="32"/>
      <c r="I196" s="33"/>
      <c r="P196" s="24"/>
    </row>
    <row r="197" spans="2:16" ht="24" x14ac:dyDescent="0.55000000000000004">
      <c r="B197" s="31"/>
      <c r="C197" s="8" t="s">
        <v>96</v>
      </c>
      <c r="D197" s="8"/>
      <c r="E197" s="8"/>
      <c r="F197" s="8" t="s">
        <v>115</v>
      </c>
      <c r="G197" s="8" t="s">
        <v>116</v>
      </c>
      <c r="H197" s="32"/>
      <c r="I197" s="33"/>
      <c r="J197" s="8" t="s">
        <v>165</v>
      </c>
      <c r="K197" s="8" t="s">
        <v>166</v>
      </c>
      <c r="P197" s="24"/>
    </row>
    <row r="198" spans="2:16" x14ac:dyDescent="0.55000000000000004">
      <c r="B198" s="31"/>
      <c r="C198" s="47" t="s">
        <v>189</v>
      </c>
      <c r="D198" s="33"/>
      <c r="E198" s="34"/>
      <c r="F198" s="35">
        <f>SUMIFS(database!R:R,database!F:F,calc!$C$196,database!J:J,calc!C198,database!B:B,Dashboard!#REF!)</f>
        <v>0</v>
      </c>
      <c r="G198" s="34" t="str">
        <f>IFERROR(F198/$F$206,"")</f>
        <v/>
      </c>
      <c r="H198" s="32"/>
      <c r="I198" s="33"/>
      <c r="J198" s="45" t="str">
        <f>IFERROR(D198/D28,"")</f>
        <v/>
      </c>
      <c r="K198" s="26" t="str">
        <f>IFERROR(J198/$J$206,"")</f>
        <v/>
      </c>
      <c r="P198" s="24"/>
    </row>
    <row r="199" spans="2:16" x14ac:dyDescent="0.55000000000000004">
      <c r="B199" s="31"/>
      <c r="C199" s="47" t="s">
        <v>190</v>
      </c>
      <c r="D199" s="33"/>
      <c r="E199" s="34"/>
      <c r="F199" s="35">
        <f>SUMIFS(database!R:R,database!F:F,calc!$C$196,database!J:J,calc!C199,database!B:B,Dashboard!#REF!)</f>
        <v>0</v>
      </c>
      <c r="G199" s="34" t="str">
        <f t="shared" ref="G199:G205" si="42">IFERROR(F199/$F$206,"")</f>
        <v/>
      </c>
      <c r="H199" s="32"/>
      <c r="I199" s="33"/>
      <c r="J199" s="45" t="str">
        <f>IFERROR(D199/D29,"")</f>
        <v/>
      </c>
      <c r="K199" s="26" t="str">
        <f t="shared" ref="K199:K205" si="43">IFERROR(J199/$J$206,"")</f>
        <v/>
      </c>
      <c r="P199" s="24"/>
    </row>
    <row r="200" spans="2:16" x14ac:dyDescent="0.55000000000000004">
      <c r="B200" s="31"/>
      <c r="C200" s="47" t="s">
        <v>191</v>
      </c>
      <c r="D200" s="33"/>
      <c r="E200" s="34"/>
      <c r="F200" s="35">
        <f>SUMIFS(database!R:R,database!F:F,calc!$C$196,database!J:J,calc!C200,database!B:B,Dashboard!#REF!)</f>
        <v>0</v>
      </c>
      <c r="G200" s="34" t="str">
        <f t="shared" si="42"/>
        <v/>
      </c>
      <c r="H200" s="32"/>
      <c r="I200" s="33"/>
      <c r="J200" s="45" t="str">
        <f>IFERROR(D200/D30,"")</f>
        <v/>
      </c>
      <c r="K200" s="26" t="str">
        <f t="shared" si="43"/>
        <v/>
      </c>
      <c r="P200" s="24"/>
    </row>
    <row r="201" spans="2:16" x14ac:dyDescent="0.55000000000000004">
      <c r="B201" s="31"/>
      <c r="C201" s="47" t="s">
        <v>192</v>
      </c>
      <c r="D201" s="33"/>
      <c r="E201" s="34"/>
      <c r="F201" s="35">
        <f>SUMIFS(database!R:R,database!F:F,calc!$C$196,database!J:J,calc!C201,database!B:B,Dashboard!#REF!)</f>
        <v>0</v>
      </c>
      <c r="G201" s="34" t="str">
        <f t="shared" si="42"/>
        <v/>
      </c>
      <c r="H201" s="32"/>
      <c r="I201" s="33"/>
      <c r="J201" s="45" t="str">
        <f>IFERROR(D201/D31,"")</f>
        <v/>
      </c>
      <c r="K201" s="26" t="str">
        <f t="shared" si="43"/>
        <v/>
      </c>
      <c r="P201" s="24"/>
    </row>
    <row r="202" spans="2:16" x14ac:dyDescent="0.55000000000000004">
      <c r="B202" s="31"/>
      <c r="C202" s="47" t="s">
        <v>193</v>
      </c>
      <c r="D202" s="33"/>
      <c r="E202" s="34"/>
      <c r="F202" s="35">
        <f>SUMIFS(database!R:R,database!F:F,calc!$C$196,database!J:J,calc!C202,database!B:B,Dashboard!#REF!)</f>
        <v>0</v>
      </c>
      <c r="G202" s="34" t="str">
        <f t="shared" si="42"/>
        <v/>
      </c>
      <c r="H202" s="32"/>
      <c r="I202" s="33"/>
      <c r="J202" s="45">
        <f>IFERROR(D202/D32,"")</f>
        <v>0</v>
      </c>
      <c r="K202" s="26" t="str">
        <f t="shared" si="43"/>
        <v/>
      </c>
      <c r="P202" s="24"/>
    </row>
    <row r="203" spans="2:16" x14ac:dyDescent="0.55000000000000004">
      <c r="B203" s="31"/>
      <c r="C203" s="47" t="s">
        <v>196</v>
      </c>
      <c r="D203" s="33"/>
      <c r="E203" s="34"/>
      <c r="F203" s="35">
        <f>SUMIFS(database!R:R,database!F:F,calc!$C$196,database!J:J,calc!C203,database!B:B,Dashboard!#REF!)</f>
        <v>0</v>
      </c>
      <c r="G203" s="34" t="str">
        <f t="shared" si="42"/>
        <v/>
      </c>
      <c r="H203" s="32"/>
      <c r="I203" s="33"/>
      <c r="J203" s="45" t="str">
        <f>IFERROR(D203/D33,"")</f>
        <v/>
      </c>
      <c r="K203" s="26" t="str">
        <f t="shared" si="43"/>
        <v/>
      </c>
      <c r="P203" s="24"/>
    </row>
    <row r="204" spans="2:16" x14ac:dyDescent="0.55000000000000004">
      <c r="B204" s="31"/>
      <c r="C204" s="47" t="s">
        <v>194</v>
      </c>
      <c r="D204" s="33"/>
      <c r="E204" s="34"/>
      <c r="F204" s="35">
        <f>SUMIFS(database!R:R,database!F:F,calc!$C$196,database!J:J,calc!C204,database!B:B,Dashboard!#REF!)</f>
        <v>0</v>
      </c>
      <c r="G204" s="34" t="str">
        <f t="shared" si="42"/>
        <v/>
      </c>
      <c r="H204" s="32"/>
      <c r="I204" s="33"/>
      <c r="J204" s="45">
        <f>IFERROR(D204/D34,"")</f>
        <v>0</v>
      </c>
      <c r="K204" s="26" t="str">
        <f t="shared" si="43"/>
        <v/>
      </c>
    </row>
    <row r="205" spans="2:16" x14ac:dyDescent="0.55000000000000004">
      <c r="B205" s="31"/>
      <c r="C205" s="47" t="s">
        <v>195</v>
      </c>
      <c r="D205" s="33"/>
      <c r="E205" s="34"/>
      <c r="F205" s="35">
        <f>SUMIFS(database!R:R,database!F:F,calc!$C$196,database!J:J,calc!C205,database!B:B,Dashboard!#REF!)</f>
        <v>0</v>
      </c>
      <c r="G205" s="34" t="str">
        <f t="shared" si="42"/>
        <v/>
      </c>
      <c r="H205" s="32"/>
      <c r="I205" s="33"/>
      <c r="J205" s="45">
        <f>IFERROR(D205/D35,"")</f>
        <v>0</v>
      </c>
      <c r="K205" s="26" t="str">
        <f t="shared" si="43"/>
        <v/>
      </c>
    </row>
    <row r="206" spans="2:16" ht="24" x14ac:dyDescent="0.55000000000000004">
      <c r="B206" s="31"/>
      <c r="C206" s="21" t="s">
        <v>136</v>
      </c>
      <c r="D206" s="21"/>
      <c r="E206" s="23"/>
      <c r="F206" s="25">
        <f t="shared" ref="F206" si="44">SUM(F198:F205)</f>
        <v>0</v>
      </c>
      <c r="G206" s="23">
        <f>SUM(G198:G205)</f>
        <v>0</v>
      </c>
      <c r="H206" s="32"/>
      <c r="I206" s="33"/>
      <c r="J206" s="21">
        <f>SUM(J198:J205)</f>
        <v>0</v>
      </c>
      <c r="K206" s="23">
        <f>SUM(K198:K205)</f>
        <v>0</v>
      </c>
    </row>
    <row r="207" spans="2:16" ht="23.25" thickBot="1" x14ac:dyDescent="0.6">
      <c r="B207" s="37"/>
      <c r="C207" s="38"/>
      <c r="D207" s="38"/>
      <c r="E207" s="38"/>
      <c r="F207" s="38"/>
      <c r="G207" s="38"/>
      <c r="H207" s="39"/>
      <c r="I207" s="33"/>
    </row>
    <row r="208" spans="2:16" x14ac:dyDescent="0.55000000000000004">
      <c r="I208" s="33"/>
    </row>
    <row r="209" spans="2:9" x14ac:dyDescent="0.55000000000000004">
      <c r="I209" s="33"/>
    </row>
    <row r="210" spans="2:9" ht="23.25" customHeight="1" thickBot="1" x14ac:dyDescent="0.6">
      <c r="C210" s="53" t="s">
        <v>147</v>
      </c>
      <c r="I210" s="33"/>
    </row>
    <row r="211" spans="2:9" ht="22.5" customHeight="1" x14ac:dyDescent="0.55000000000000004">
      <c r="B211" s="28"/>
      <c r="C211" s="53"/>
      <c r="D211" s="29"/>
      <c r="E211" s="29"/>
      <c r="F211" s="29"/>
      <c r="G211" s="29"/>
      <c r="H211" s="30"/>
    </row>
    <row r="212" spans="2:9" ht="26.25" x14ac:dyDescent="0.55000000000000004">
      <c r="B212" s="31"/>
      <c r="C212" s="52" t="s">
        <v>3</v>
      </c>
      <c r="D212" s="52"/>
      <c r="E212" s="52"/>
      <c r="F212" s="52"/>
      <c r="G212" s="52"/>
      <c r="H212" s="32"/>
    </row>
    <row r="213" spans="2:9" ht="24" x14ac:dyDescent="0.55000000000000004">
      <c r="B213" s="31"/>
      <c r="C213" s="8" t="s">
        <v>96</v>
      </c>
      <c r="D213" s="8"/>
      <c r="E213" s="8"/>
      <c r="F213" s="8" t="s">
        <v>115</v>
      </c>
      <c r="G213" s="8" t="s">
        <v>116</v>
      </c>
      <c r="H213" s="32"/>
    </row>
    <row r="214" spans="2:9" x14ac:dyDescent="0.55000000000000004">
      <c r="B214" s="31"/>
      <c r="C214" s="47" t="s">
        <v>170</v>
      </c>
      <c r="D214" s="33"/>
      <c r="E214" s="34"/>
      <c r="F214" s="35">
        <f>SUMIFS(database!S:S,database!F:F,$C$212,database!J:J,C214,database!B:B,Dashboard!#REF!)</f>
        <v>0</v>
      </c>
      <c r="G214" s="34" t="e">
        <f>F214/$F$232</f>
        <v>#DIV/0!</v>
      </c>
      <c r="H214" s="32"/>
      <c r="I214" s="33"/>
    </row>
    <row r="215" spans="2:9" x14ac:dyDescent="0.55000000000000004">
      <c r="B215" s="31"/>
      <c r="C215" s="47" t="s">
        <v>171</v>
      </c>
      <c r="D215" s="33"/>
      <c r="E215" s="34"/>
      <c r="F215" s="35">
        <f>SUMIFS(database!S:S,database!F:F,$C$212,database!J:J,C215,database!B:B,Dashboard!#REF!)</f>
        <v>0</v>
      </c>
      <c r="G215" s="34" t="e">
        <f t="shared" ref="G215:G231" si="45">F215/$F$232</f>
        <v>#DIV/0!</v>
      </c>
      <c r="H215" s="32"/>
      <c r="I215" s="33"/>
    </row>
    <row r="216" spans="2:9" x14ac:dyDescent="0.55000000000000004">
      <c r="B216" s="31"/>
      <c r="C216" s="47" t="s">
        <v>172</v>
      </c>
      <c r="D216" s="33"/>
      <c r="E216" s="34"/>
      <c r="F216" s="35">
        <f>SUMIFS(database!S:S,database!F:F,$C$212,database!J:J,C216,database!B:B,Dashboard!#REF!)</f>
        <v>0</v>
      </c>
      <c r="G216" s="34" t="e">
        <f t="shared" si="45"/>
        <v>#DIV/0!</v>
      </c>
      <c r="H216" s="32"/>
      <c r="I216" s="33"/>
    </row>
    <row r="217" spans="2:9" x14ac:dyDescent="0.55000000000000004">
      <c r="B217" s="31"/>
      <c r="C217" s="47" t="s">
        <v>173</v>
      </c>
      <c r="D217" s="33"/>
      <c r="E217" s="34"/>
      <c r="F217" s="35">
        <f>SUMIFS(database!S:S,database!F:F,$C$212,database!J:J,C217,database!B:B,Dashboard!#REF!)</f>
        <v>0</v>
      </c>
      <c r="G217" s="34" t="e">
        <f t="shared" si="45"/>
        <v>#DIV/0!</v>
      </c>
      <c r="H217" s="32"/>
      <c r="I217" s="33"/>
    </row>
    <row r="218" spans="2:9" x14ac:dyDescent="0.55000000000000004">
      <c r="B218" s="31"/>
      <c r="C218" s="47" t="s">
        <v>174</v>
      </c>
      <c r="D218" s="33"/>
      <c r="E218" s="34"/>
      <c r="F218" s="35">
        <f>SUMIFS(database!S:S,database!F:F,$C$212,database!J:J,C218,database!B:B,Dashboard!#REF!)</f>
        <v>0</v>
      </c>
      <c r="G218" s="34" t="e">
        <f t="shared" si="45"/>
        <v>#DIV/0!</v>
      </c>
      <c r="H218" s="32"/>
      <c r="I218" s="33"/>
    </row>
    <row r="219" spans="2:9" x14ac:dyDescent="0.55000000000000004">
      <c r="B219" s="31"/>
      <c r="C219" s="47" t="s">
        <v>175</v>
      </c>
      <c r="D219" s="33"/>
      <c r="E219" s="34"/>
      <c r="F219" s="35">
        <f>SUMIFS(database!S:S,database!F:F,$C$212,database!J:J,C219,database!B:B,Dashboard!#REF!)</f>
        <v>0</v>
      </c>
      <c r="G219" s="34" t="e">
        <f t="shared" si="45"/>
        <v>#DIV/0!</v>
      </c>
      <c r="H219" s="32"/>
      <c r="I219" s="33"/>
    </row>
    <row r="220" spans="2:9" x14ac:dyDescent="0.55000000000000004">
      <c r="B220" s="31"/>
      <c r="C220" s="47" t="s">
        <v>197</v>
      </c>
      <c r="D220" s="33"/>
      <c r="E220" s="34"/>
      <c r="F220" s="35">
        <f>SUMIFS(database!S:S,database!F:F,$C$212,database!J:J,C220,database!B:B,Dashboard!#REF!)</f>
        <v>0</v>
      </c>
      <c r="G220" s="34" t="e">
        <f t="shared" si="45"/>
        <v>#DIV/0!</v>
      </c>
      <c r="H220" s="32"/>
      <c r="I220" s="33"/>
    </row>
    <row r="221" spans="2:9" x14ac:dyDescent="0.55000000000000004">
      <c r="B221" s="31"/>
      <c r="C221" s="47" t="s">
        <v>176</v>
      </c>
      <c r="D221" s="33"/>
      <c r="E221" s="34"/>
      <c r="F221" s="35">
        <f>SUMIFS(database!S:S,database!F:F,$C$212,database!J:J,C221,database!B:B,Dashboard!#REF!)</f>
        <v>0</v>
      </c>
      <c r="G221" s="34" t="e">
        <f t="shared" si="45"/>
        <v>#DIV/0!</v>
      </c>
      <c r="H221" s="32"/>
      <c r="I221" s="33"/>
    </row>
    <row r="222" spans="2:9" x14ac:dyDescent="0.55000000000000004">
      <c r="B222" s="31"/>
      <c r="C222" s="47" t="s">
        <v>177</v>
      </c>
      <c r="D222" s="33"/>
      <c r="E222" s="34"/>
      <c r="F222" s="35">
        <f>SUMIFS(database!S:S,database!F:F,$C$212,database!J:J,C222,database!B:B,Dashboard!#REF!)</f>
        <v>0</v>
      </c>
      <c r="G222" s="34" t="e">
        <f t="shared" si="45"/>
        <v>#DIV/0!</v>
      </c>
      <c r="H222" s="32"/>
      <c r="I222" s="33"/>
    </row>
    <row r="223" spans="2:9" x14ac:dyDescent="0.55000000000000004">
      <c r="B223" s="31"/>
      <c r="C223" s="47" t="s">
        <v>178</v>
      </c>
      <c r="D223" s="33"/>
      <c r="E223" s="34"/>
      <c r="F223" s="35">
        <f>SUMIFS(database!S:S,database!F:F,$C$212,database!J:J,C223,database!B:B,Dashboard!#REF!)</f>
        <v>0</v>
      </c>
      <c r="G223" s="34" t="e">
        <f t="shared" si="45"/>
        <v>#DIV/0!</v>
      </c>
      <c r="H223" s="32"/>
      <c r="I223" s="33"/>
    </row>
    <row r="224" spans="2:9" x14ac:dyDescent="0.55000000000000004">
      <c r="B224" s="31"/>
      <c r="C224" s="47" t="s">
        <v>179</v>
      </c>
      <c r="D224" s="33"/>
      <c r="E224" s="34"/>
      <c r="F224" s="35">
        <f>SUMIFS(database!S:S,database!F:F,$C$212,database!J:J,C224,database!B:B,Dashboard!#REF!)</f>
        <v>0</v>
      </c>
      <c r="G224" s="34" t="e">
        <f t="shared" si="45"/>
        <v>#DIV/0!</v>
      </c>
      <c r="H224" s="32"/>
      <c r="I224" s="33"/>
    </row>
    <row r="225" spans="2:9" x14ac:dyDescent="0.55000000000000004">
      <c r="B225" s="31"/>
      <c r="C225" s="47" t="s">
        <v>180</v>
      </c>
      <c r="D225" s="33"/>
      <c r="E225" s="34"/>
      <c r="F225" s="35">
        <f>SUMIFS(database!S:S,database!F:F,$C$212,database!J:J,C225,database!B:B,Dashboard!#REF!)</f>
        <v>0</v>
      </c>
      <c r="G225" s="34" t="e">
        <f t="shared" si="45"/>
        <v>#DIV/0!</v>
      </c>
      <c r="H225" s="32"/>
      <c r="I225" s="33"/>
    </row>
    <row r="226" spans="2:9" x14ac:dyDescent="0.55000000000000004">
      <c r="B226" s="31"/>
      <c r="C226" s="47" t="s">
        <v>181</v>
      </c>
      <c r="D226" s="33"/>
      <c r="E226" s="34"/>
      <c r="F226" s="35">
        <f>SUMIFS(database!S:S,database!F:F,$C$212,database!J:J,C226,database!B:B,Dashboard!#REF!)</f>
        <v>0</v>
      </c>
      <c r="G226" s="34" t="e">
        <f t="shared" si="45"/>
        <v>#DIV/0!</v>
      </c>
      <c r="H226" s="32"/>
      <c r="I226" s="33"/>
    </row>
    <row r="227" spans="2:9" x14ac:dyDescent="0.55000000000000004">
      <c r="B227" s="31"/>
      <c r="C227" s="47" t="s">
        <v>182</v>
      </c>
      <c r="D227" s="33"/>
      <c r="E227" s="34"/>
      <c r="F227" s="35">
        <f>SUMIFS(database!S:S,database!F:F,$C$212,database!J:J,C227,database!B:B,Dashboard!#REF!)</f>
        <v>0</v>
      </c>
      <c r="G227" s="34" t="e">
        <f t="shared" si="45"/>
        <v>#DIV/0!</v>
      </c>
      <c r="H227" s="32"/>
      <c r="I227" s="33"/>
    </row>
    <row r="228" spans="2:9" x14ac:dyDescent="0.55000000000000004">
      <c r="B228" s="31"/>
      <c r="C228" s="47" t="s">
        <v>183</v>
      </c>
      <c r="D228" s="33"/>
      <c r="E228" s="34"/>
      <c r="F228" s="35">
        <f>SUMIFS(database!S:S,database!F:F,$C$212,database!J:J,C228,database!B:B,Dashboard!#REF!)</f>
        <v>0</v>
      </c>
      <c r="G228" s="34" t="e">
        <f t="shared" si="45"/>
        <v>#DIV/0!</v>
      </c>
      <c r="H228" s="32"/>
      <c r="I228" s="33"/>
    </row>
    <row r="229" spans="2:9" x14ac:dyDescent="0.55000000000000004">
      <c r="B229" s="31"/>
      <c r="C229" s="47" t="s">
        <v>184</v>
      </c>
      <c r="D229" s="33"/>
      <c r="E229" s="34"/>
      <c r="F229" s="35">
        <f>SUMIFS(database!S:S,database!F:F,$C$212,database!J:J,C229,database!B:B,Dashboard!#REF!)</f>
        <v>0</v>
      </c>
      <c r="G229" s="34" t="e">
        <f t="shared" si="45"/>
        <v>#DIV/0!</v>
      </c>
      <c r="H229" s="32"/>
      <c r="I229" s="33"/>
    </row>
    <row r="230" spans="2:9" x14ac:dyDescent="0.55000000000000004">
      <c r="B230" s="31"/>
      <c r="C230" s="47" t="s">
        <v>185</v>
      </c>
      <c r="D230" s="33"/>
      <c r="E230" s="34"/>
      <c r="F230" s="35">
        <f>SUMIFS(database!S:S,database!F:F,$C$212,database!J:J,C230,database!B:B,Dashboard!#REF!)</f>
        <v>0</v>
      </c>
      <c r="G230" s="34" t="e">
        <f t="shared" si="45"/>
        <v>#DIV/0!</v>
      </c>
      <c r="H230" s="32"/>
      <c r="I230" s="33"/>
    </row>
    <row r="231" spans="2:9" x14ac:dyDescent="0.55000000000000004">
      <c r="B231" s="31"/>
      <c r="C231" s="47" t="s">
        <v>169</v>
      </c>
      <c r="D231" s="33"/>
      <c r="E231" s="34"/>
      <c r="F231" s="35">
        <f>SUMIFS(database!S:S,database!F:F,$C$212,database!J:J,C231,database!B:B,Dashboard!#REF!)</f>
        <v>0</v>
      </c>
      <c r="G231" s="34" t="e">
        <f t="shared" si="45"/>
        <v>#DIV/0!</v>
      </c>
      <c r="H231" s="32"/>
      <c r="I231" s="33"/>
    </row>
    <row r="232" spans="2:9" ht="24" x14ac:dyDescent="0.55000000000000004">
      <c r="B232" s="31"/>
      <c r="C232" s="21" t="s">
        <v>136</v>
      </c>
      <c r="D232" s="21"/>
      <c r="E232" s="23"/>
      <c r="F232" s="25">
        <f>SUM(F214:F231)</f>
        <v>0</v>
      </c>
      <c r="G232" s="23" t="e">
        <f>SUM(G214:G231)</f>
        <v>#DIV/0!</v>
      </c>
      <c r="H232" s="32"/>
      <c r="I232" s="33"/>
    </row>
    <row r="233" spans="2:9" x14ac:dyDescent="0.55000000000000004">
      <c r="B233" s="31"/>
      <c r="C233" s="33"/>
      <c r="D233" s="33"/>
      <c r="E233" s="33"/>
      <c r="F233" s="33"/>
      <c r="G233" s="33"/>
      <c r="H233" s="32"/>
      <c r="I233" s="33"/>
    </row>
    <row r="234" spans="2:9" x14ac:dyDescent="0.55000000000000004">
      <c r="B234" s="31"/>
      <c r="C234" s="33"/>
      <c r="D234" s="33"/>
      <c r="E234" s="33"/>
      <c r="F234" s="33"/>
      <c r="G234" s="33"/>
      <c r="H234" s="32"/>
      <c r="I234" s="33"/>
    </row>
    <row r="235" spans="2:9" ht="26.25" x14ac:dyDescent="0.55000000000000004">
      <c r="B235" s="31"/>
      <c r="C235" s="52" t="s">
        <v>4</v>
      </c>
      <c r="D235" s="52"/>
      <c r="E235" s="52"/>
      <c r="F235" s="52"/>
      <c r="G235" s="52"/>
      <c r="H235" s="32"/>
      <c r="I235" s="33"/>
    </row>
    <row r="236" spans="2:9" ht="24" x14ac:dyDescent="0.55000000000000004">
      <c r="B236" s="31"/>
      <c r="C236" s="8" t="s">
        <v>96</v>
      </c>
      <c r="D236" s="8"/>
      <c r="E236" s="8"/>
      <c r="F236" s="8" t="s">
        <v>115</v>
      </c>
      <c r="G236" s="8" t="s">
        <v>116</v>
      </c>
      <c r="H236" s="32"/>
      <c r="I236" s="33"/>
    </row>
    <row r="237" spans="2:9" x14ac:dyDescent="0.55000000000000004">
      <c r="B237" s="31"/>
      <c r="C237" s="47" t="s">
        <v>189</v>
      </c>
      <c r="D237" s="33"/>
      <c r="E237" s="34"/>
      <c r="F237" s="35">
        <f>SUMIFS(database!S:S,database!F:F,$C$235,database!J:J,C237,database!B:B,Dashboard!#REF!)</f>
        <v>0</v>
      </c>
      <c r="G237" s="34" t="e">
        <f>F237/$F$245</f>
        <v>#DIV/0!</v>
      </c>
      <c r="H237" s="32"/>
      <c r="I237" s="33"/>
    </row>
    <row r="238" spans="2:9" x14ac:dyDescent="0.55000000000000004">
      <c r="B238" s="31"/>
      <c r="C238" s="47" t="s">
        <v>190</v>
      </c>
      <c r="D238" s="33"/>
      <c r="E238" s="34"/>
      <c r="F238" s="35">
        <f>SUMIFS(database!S:S,database!F:F,$C$235,database!J:J,C238,database!B:B,Dashboard!#REF!)</f>
        <v>0</v>
      </c>
      <c r="G238" s="34" t="e">
        <f t="shared" ref="G238:G244" si="46">F238/$F$245</f>
        <v>#DIV/0!</v>
      </c>
      <c r="H238" s="32"/>
      <c r="I238" s="33"/>
    </row>
    <row r="239" spans="2:9" x14ac:dyDescent="0.55000000000000004">
      <c r="B239" s="31"/>
      <c r="C239" s="47" t="s">
        <v>191</v>
      </c>
      <c r="D239" s="33"/>
      <c r="E239" s="34"/>
      <c r="F239" s="35">
        <f>SUMIFS(database!S:S,database!F:F,$C$235,database!J:J,C239,database!B:B,Dashboard!#REF!)</f>
        <v>0</v>
      </c>
      <c r="G239" s="34" t="e">
        <f t="shared" si="46"/>
        <v>#DIV/0!</v>
      </c>
      <c r="H239" s="32"/>
      <c r="I239" s="33"/>
    </row>
    <row r="240" spans="2:9" x14ac:dyDescent="0.55000000000000004">
      <c r="B240" s="31"/>
      <c r="C240" s="47" t="s">
        <v>192</v>
      </c>
      <c r="D240" s="33"/>
      <c r="E240" s="34"/>
      <c r="F240" s="35">
        <f>SUMIFS(database!S:S,database!F:F,$C$235,database!J:J,C240,database!B:B,Dashboard!#REF!)</f>
        <v>0</v>
      </c>
      <c r="G240" s="34" t="e">
        <f t="shared" si="46"/>
        <v>#DIV/0!</v>
      </c>
      <c r="H240" s="32"/>
      <c r="I240" s="33"/>
    </row>
    <row r="241" spans="2:9" x14ac:dyDescent="0.55000000000000004">
      <c r="B241" s="31"/>
      <c r="C241" s="47" t="s">
        <v>193</v>
      </c>
      <c r="D241" s="33"/>
      <c r="E241" s="34"/>
      <c r="F241" s="35">
        <f>SUMIFS(database!S:S,database!F:F,$C$235,database!J:J,C241,database!B:B,Dashboard!#REF!)</f>
        <v>0</v>
      </c>
      <c r="G241" s="34" t="e">
        <f t="shared" si="46"/>
        <v>#DIV/0!</v>
      </c>
      <c r="H241" s="32"/>
      <c r="I241" s="33"/>
    </row>
    <row r="242" spans="2:9" x14ac:dyDescent="0.55000000000000004">
      <c r="B242" s="31"/>
      <c r="C242" s="47" t="s">
        <v>196</v>
      </c>
      <c r="D242" s="33"/>
      <c r="E242" s="34"/>
      <c r="F242" s="35">
        <f>SUMIFS(database!S:S,database!F:F,$C$235,database!J:J,C242,database!B:B,Dashboard!#REF!)</f>
        <v>0</v>
      </c>
      <c r="G242" s="34" t="e">
        <f t="shared" si="46"/>
        <v>#DIV/0!</v>
      </c>
      <c r="H242" s="32"/>
      <c r="I242" s="33"/>
    </row>
    <row r="243" spans="2:9" x14ac:dyDescent="0.55000000000000004">
      <c r="B243" s="31"/>
      <c r="C243" s="47" t="s">
        <v>194</v>
      </c>
      <c r="D243" s="33"/>
      <c r="E243" s="34"/>
      <c r="F243" s="35">
        <f>SUMIFS(database!S:S,database!F:F,$C$235,database!J:J,C243,database!B:B,Dashboard!#REF!)</f>
        <v>0</v>
      </c>
      <c r="G243" s="34" t="e">
        <f t="shared" si="46"/>
        <v>#DIV/0!</v>
      </c>
      <c r="H243" s="32"/>
      <c r="I243" s="33"/>
    </row>
    <row r="244" spans="2:9" x14ac:dyDescent="0.55000000000000004">
      <c r="B244" s="31"/>
      <c r="C244" s="47" t="s">
        <v>195</v>
      </c>
      <c r="D244" s="33"/>
      <c r="E244" s="34"/>
      <c r="F244" s="35">
        <f>SUMIFS(database!S:S,database!F:F,$C$235,database!J:J,C244,database!B:B,Dashboard!#REF!)</f>
        <v>0</v>
      </c>
      <c r="G244" s="34" t="e">
        <f t="shared" si="46"/>
        <v>#DIV/0!</v>
      </c>
      <c r="H244" s="32"/>
      <c r="I244" s="33"/>
    </row>
    <row r="245" spans="2:9" ht="24" x14ac:dyDescent="0.55000000000000004">
      <c r="B245" s="31"/>
      <c r="C245" s="21" t="s">
        <v>136</v>
      </c>
      <c r="D245" s="21"/>
      <c r="E245" s="23"/>
      <c r="F245" s="25">
        <f t="shared" ref="F245" si="47">SUM(F237:F244)</f>
        <v>0</v>
      </c>
      <c r="G245" s="23" t="e">
        <f>SUM(G237:G244)</f>
        <v>#DIV/0!</v>
      </c>
      <c r="H245" s="32"/>
      <c r="I245" s="33"/>
    </row>
    <row r="246" spans="2:9" x14ac:dyDescent="0.55000000000000004">
      <c r="B246" s="31"/>
      <c r="C246" s="33"/>
      <c r="D246" s="33"/>
      <c r="E246" s="33"/>
      <c r="F246" s="33"/>
      <c r="G246" s="33"/>
      <c r="H246" s="32"/>
      <c r="I246" s="33"/>
    </row>
    <row r="247" spans="2:9" x14ac:dyDescent="0.55000000000000004">
      <c r="B247" s="31"/>
      <c r="C247" s="33"/>
      <c r="D247" s="33"/>
      <c r="E247" s="33"/>
      <c r="F247" s="33"/>
      <c r="G247" s="33"/>
      <c r="H247" s="32"/>
      <c r="I247" s="33"/>
    </row>
    <row r="248" spans="2:9" ht="26.25" x14ac:dyDescent="0.55000000000000004">
      <c r="B248" s="31"/>
      <c r="C248" s="52" t="s">
        <v>117</v>
      </c>
      <c r="D248" s="52"/>
      <c r="E248" s="52"/>
      <c r="F248" s="52"/>
      <c r="G248" s="52"/>
      <c r="H248" s="32"/>
      <c r="I248" s="33"/>
    </row>
    <row r="249" spans="2:9" ht="24" x14ac:dyDescent="0.55000000000000004">
      <c r="B249" s="31"/>
      <c r="C249" s="8" t="s">
        <v>96</v>
      </c>
      <c r="D249" s="8" t="s">
        <v>113</v>
      </c>
      <c r="E249" s="8" t="s">
        <v>114</v>
      </c>
      <c r="F249" s="27" t="s">
        <v>115</v>
      </c>
      <c r="G249" s="8" t="s">
        <v>116</v>
      </c>
      <c r="H249" s="32"/>
      <c r="I249" s="33"/>
    </row>
    <row r="250" spans="2:9" x14ac:dyDescent="0.55000000000000004">
      <c r="B250" s="31"/>
      <c r="C250" s="7" t="s">
        <v>3</v>
      </c>
      <c r="D250" s="33">
        <f>COUNTIFS(database!F:F,calc!C250,database!B:B,Dashboard!#REF!)</f>
        <v>0</v>
      </c>
      <c r="E250" s="36" t="e">
        <f>D250/$D$252</f>
        <v>#DIV/0!</v>
      </c>
      <c r="F250" s="35">
        <f>$F$232</f>
        <v>0</v>
      </c>
      <c r="G250" s="36" t="e">
        <f>F250/$F$252</f>
        <v>#DIV/0!</v>
      </c>
      <c r="H250" s="32"/>
      <c r="I250" s="33"/>
    </row>
    <row r="251" spans="2:9" x14ac:dyDescent="0.55000000000000004">
      <c r="B251" s="31"/>
      <c r="C251" s="7" t="s">
        <v>4</v>
      </c>
      <c r="D251" s="33">
        <f>COUNTIFS(database!F:F,calc!C251,database!B:B,Dashboard!#REF!)</f>
        <v>0</v>
      </c>
      <c r="E251" s="36" t="e">
        <f>D251/$D$252</f>
        <v>#DIV/0!</v>
      </c>
      <c r="F251" s="35">
        <f>$F$245</f>
        <v>0</v>
      </c>
      <c r="G251" s="36" t="e">
        <f>F251/$F$252</f>
        <v>#DIV/0!</v>
      </c>
      <c r="H251" s="32"/>
      <c r="I251" s="33"/>
    </row>
    <row r="252" spans="2:9" ht="24" x14ac:dyDescent="0.55000000000000004">
      <c r="B252" s="31"/>
      <c r="C252" s="20" t="s">
        <v>136</v>
      </c>
      <c r="D252" s="21">
        <f>SUM(D250:D251)</f>
        <v>0</v>
      </c>
      <c r="E252" s="23" t="e">
        <f>SUM(E250:E251)</f>
        <v>#DIV/0!</v>
      </c>
      <c r="F252" s="25">
        <f>SUM(F250:F251)</f>
        <v>0</v>
      </c>
      <c r="G252" s="23" t="e">
        <f>SUM(G250:G251)</f>
        <v>#DIV/0!</v>
      </c>
      <c r="H252" s="32"/>
      <c r="I252" s="33"/>
    </row>
    <row r="253" spans="2:9" ht="23.25" thickBot="1" x14ac:dyDescent="0.6">
      <c r="B253" s="37"/>
      <c r="C253" s="38"/>
      <c r="D253" s="38"/>
      <c r="E253" s="38"/>
      <c r="F253" s="38"/>
      <c r="G253" s="38"/>
      <c r="H253" s="39"/>
      <c r="I253" s="33"/>
    </row>
    <row r="254" spans="2:9" x14ac:dyDescent="0.55000000000000004">
      <c r="I254" s="33"/>
    </row>
    <row r="255" spans="2:9" x14ac:dyDescent="0.55000000000000004">
      <c r="I255" s="33"/>
    </row>
    <row r="256" spans="2:9" x14ac:dyDescent="0.55000000000000004">
      <c r="I256" s="33"/>
    </row>
  </sheetData>
  <mergeCells count="21">
    <mergeCell ref="C1:C2"/>
    <mergeCell ref="C47:C48"/>
    <mergeCell ref="C49:G49"/>
    <mergeCell ref="C72:G72"/>
    <mergeCell ref="C93:C94"/>
    <mergeCell ref="C3:G3"/>
    <mergeCell ref="C26:G26"/>
    <mergeCell ref="C39:G39"/>
    <mergeCell ref="C235:G235"/>
    <mergeCell ref="C248:G248"/>
    <mergeCell ref="C85:G85"/>
    <mergeCell ref="C171:C172"/>
    <mergeCell ref="C173:G173"/>
    <mergeCell ref="C196:G196"/>
    <mergeCell ref="C210:C211"/>
    <mergeCell ref="C212:G212"/>
    <mergeCell ref="C95:G95"/>
    <mergeCell ref="C118:G118"/>
    <mergeCell ref="C132:C133"/>
    <mergeCell ref="C134:G134"/>
    <mergeCell ref="C157:G15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"/>
  <sheetViews>
    <sheetView rightToLeft="1" zoomScaleNormal="100" workbookViewId="0">
      <selection activeCell="F19" sqref="F19"/>
    </sheetView>
  </sheetViews>
  <sheetFormatPr defaultRowHeight="22.5" x14ac:dyDescent="0.55000000000000004"/>
  <cols>
    <col min="1" max="1" width="7.33203125" style="10" bestFit="1" customWidth="1"/>
    <col min="2" max="2" width="6.5546875" style="10" bestFit="1" customWidth="1"/>
    <col min="3" max="3" width="11.109375" bestFit="1" customWidth="1"/>
    <col min="4" max="4" width="14.6640625" style="10" bestFit="1" customWidth="1"/>
    <col min="5" max="5" width="11.6640625" style="10" bestFit="1" customWidth="1"/>
    <col min="6" max="6" width="12.88671875" style="10" bestFit="1" customWidth="1"/>
    <col min="7" max="7" width="19.109375" style="10" bestFit="1" customWidth="1"/>
    <col min="8" max="8" width="19.6640625" style="10" bestFit="1" customWidth="1"/>
    <col min="9" max="9" width="15.109375" style="10" bestFit="1" customWidth="1"/>
    <col min="10" max="10" width="10.44140625" style="10" bestFit="1" customWidth="1"/>
    <col min="11" max="11" width="10.88671875" style="10" bestFit="1" customWidth="1"/>
    <col min="12" max="12" width="13.44140625" style="10" bestFit="1" customWidth="1"/>
    <col min="13" max="13" width="11.109375" style="10" bestFit="1" customWidth="1"/>
    <col min="14" max="14" width="12.21875" style="10" bestFit="1" customWidth="1"/>
    <col min="15" max="15" width="10.44140625" style="10" bestFit="1" customWidth="1"/>
    <col min="16" max="16" width="11.6640625" style="10" bestFit="1" customWidth="1"/>
    <col min="17" max="17" width="13.5546875" style="10" bestFit="1" customWidth="1"/>
    <col min="18" max="18" width="13.6640625" style="10" bestFit="1" customWidth="1"/>
    <col min="19" max="19" width="10" style="10" bestFit="1" customWidth="1"/>
    <col min="20" max="20" width="9.6640625" style="10" bestFit="1" customWidth="1"/>
    <col min="21" max="21" width="10.6640625" style="10" bestFit="1" customWidth="1"/>
    <col min="22" max="22" width="13.6640625" style="10" bestFit="1" customWidth="1"/>
    <col min="23" max="16384" width="8.88671875" style="14"/>
  </cols>
  <sheetData>
    <row r="1" spans="1:22" ht="39" x14ac:dyDescent="0.55000000000000004">
      <c r="A1" s="51" t="s">
        <v>198</v>
      </c>
      <c r="B1" s="9" t="s">
        <v>97</v>
      </c>
      <c r="C1" s="9" t="s">
        <v>98</v>
      </c>
      <c r="D1" s="9" t="s">
        <v>99</v>
      </c>
      <c r="E1" s="9" t="s">
        <v>95</v>
      </c>
      <c r="F1" s="9" t="s">
        <v>2</v>
      </c>
      <c r="G1" s="9" t="s">
        <v>93</v>
      </c>
      <c r="H1" s="9" t="s">
        <v>94</v>
      </c>
      <c r="I1" s="9" t="s">
        <v>96</v>
      </c>
      <c r="J1" s="40" t="s">
        <v>152</v>
      </c>
      <c r="K1" s="40" t="s">
        <v>100</v>
      </c>
      <c r="L1" s="40" t="s">
        <v>157</v>
      </c>
      <c r="M1" s="40" t="s">
        <v>153</v>
      </c>
      <c r="N1" s="40" t="s">
        <v>156</v>
      </c>
      <c r="O1" s="40" t="s">
        <v>154</v>
      </c>
      <c r="P1" s="40" t="s">
        <v>155</v>
      </c>
      <c r="Q1" s="40" t="s">
        <v>158</v>
      </c>
      <c r="R1" s="40" t="s">
        <v>149</v>
      </c>
      <c r="S1" s="40" t="s">
        <v>150</v>
      </c>
      <c r="T1" s="40" t="s">
        <v>151</v>
      </c>
      <c r="U1" s="40" t="s">
        <v>148</v>
      </c>
      <c r="V1" s="14"/>
    </row>
    <row r="2" spans="1:22" ht="18" x14ac:dyDescent="0.55000000000000004">
      <c r="A2" s="10">
        <v>1401</v>
      </c>
      <c r="B2" s="10" t="s">
        <v>102</v>
      </c>
      <c r="C2" s="11">
        <v>3040200007</v>
      </c>
      <c r="D2" s="11" t="s">
        <v>118</v>
      </c>
      <c r="E2" s="10" t="s">
        <v>3</v>
      </c>
      <c r="F2" s="10" t="s">
        <v>0</v>
      </c>
      <c r="G2" s="10" t="s">
        <v>7</v>
      </c>
      <c r="H2" s="10" t="s">
        <v>75</v>
      </c>
      <c r="I2" s="10" t="s">
        <v>185</v>
      </c>
      <c r="K2" s="42">
        <v>2.06</v>
      </c>
      <c r="L2" s="12">
        <v>1065273</v>
      </c>
      <c r="M2" s="41">
        <v>0</v>
      </c>
      <c r="N2" s="12"/>
      <c r="O2" s="41"/>
      <c r="P2" s="12"/>
      <c r="Q2" s="12"/>
      <c r="R2" s="12">
        <v>97065273</v>
      </c>
      <c r="S2" s="12">
        <v>2180720</v>
      </c>
      <c r="T2" s="12">
        <v>18248850</v>
      </c>
      <c r="U2" s="12">
        <v>90026488</v>
      </c>
      <c r="V2" s="14"/>
    </row>
    <row r="3" spans="1:22" ht="18" x14ac:dyDescent="0.55000000000000004">
      <c r="A3" s="10">
        <v>1401</v>
      </c>
      <c r="B3" s="10" t="s">
        <v>102</v>
      </c>
      <c r="C3" s="11">
        <v>3040200009</v>
      </c>
      <c r="D3" s="11" t="s">
        <v>119</v>
      </c>
      <c r="E3" s="10" t="s">
        <v>3</v>
      </c>
      <c r="F3" s="10" t="s">
        <v>2</v>
      </c>
      <c r="G3" s="10" t="s">
        <v>9</v>
      </c>
      <c r="H3" s="13" t="s">
        <v>135</v>
      </c>
      <c r="I3" s="10" t="s">
        <v>180</v>
      </c>
      <c r="K3" s="42">
        <v>46.51</v>
      </c>
      <c r="L3" s="12">
        <v>16673502</v>
      </c>
      <c r="M3" s="41">
        <v>7.58</v>
      </c>
      <c r="N3" s="12">
        <v>776623</v>
      </c>
      <c r="O3" s="41"/>
      <c r="P3" s="12"/>
      <c r="Q3" s="12"/>
      <c r="R3" s="12">
        <v>97136141</v>
      </c>
      <c r="S3" s="12">
        <v>1317256</v>
      </c>
      <c r="T3" s="12">
        <v>19731771</v>
      </c>
      <c r="U3" s="12">
        <v>88814805</v>
      </c>
      <c r="V3" s="14"/>
    </row>
    <row r="4" spans="1:22" ht="18" x14ac:dyDescent="0.55000000000000004">
      <c r="A4" s="10">
        <v>1401</v>
      </c>
      <c r="B4" s="10" t="s">
        <v>102</v>
      </c>
      <c r="C4" s="11">
        <v>3040200012</v>
      </c>
      <c r="D4" s="11" t="s">
        <v>120</v>
      </c>
      <c r="E4" s="10" t="s">
        <v>3</v>
      </c>
      <c r="F4" s="10" t="s">
        <v>1</v>
      </c>
      <c r="G4" s="10" t="s">
        <v>17</v>
      </c>
      <c r="H4" s="10" t="s">
        <v>78</v>
      </c>
      <c r="I4" s="10" t="s">
        <v>175</v>
      </c>
      <c r="K4" s="42">
        <v>44.56</v>
      </c>
      <c r="L4" s="12">
        <v>30332285</v>
      </c>
      <c r="M4" s="41">
        <v>13</v>
      </c>
      <c r="N4" s="12">
        <v>2527960</v>
      </c>
      <c r="O4" s="41"/>
      <c r="P4" s="12"/>
      <c r="Q4" s="12">
        <v>7130144</v>
      </c>
      <c r="R4" s="12">
        <v>170302061</v>
      </c>
      <c r="S4" s="12">
        <v>7824521</v>
      </c>
      <c r="T4" s="12">
        <v>23859456</v>
      </c>
      <c r="U4" s="12">
        <v>156910334</v>
      </c>
      <c r="V4" s="14"/>
    </row>
    <row r="5" spans="1:22" ht="18" x14ac:dyDescent="0.55000000000000004">
      <c r="A5" s="10">
        <v>1401</v>
      </c>
      <c r="B5" s="10" t="s">
        <v>102</v>
      </c>
      <c r="C5" s="11">
        <v>3040200014</v>
      </c>
      <c r="D5" s="11" t="s">
        <v>121</v>
      </c>
      <c r="E5" s="10" t="s">
        <v>3</v>
      </c>
      <c r="F5" s="10" t="s">
        <v>1</v>
      </c>
      <c r="G5" s="10" t="s">
        <v>10</v>
      </c>
      <c r="H5" s="10" t="s">
        <v>65</v>
      </c>
      <c r="I5" s="10" t="s">
        <v>170</v>
      </c>
      <c r="K5" s="42">
        <v>143.01</v>
      </c>
      <c r="L5" s="12">
        <v>45792041</v>
      </c>
      <c r="M5" s="41">
        <v>33.1</v>
      </c>
      <c r="N5" s="12">
        <v>3028052</v>
      </c>
      <c r="O5" s="41">
        <v>150.5</v>
      </c>
      <c r="P5" s="12">
        <v>11041642</v>
      </c>
      <c r="Q5" s="12"/>
      <c r="R5" s="12">
        <v>133536295</v>
      </c>
      <c r="S5" s="12">
        <v>4991873</v>
      </c>
      <c r="T5" s="12">
        <v>18248850</v>
      </c>
      <c r="U5" s="12">
        <v>121886357</v>
      </c>
      <c r="V5" s="14"/>
    </row>
    <row r="6" spans="1:22" ht="18" x14ac:dyDescent="0.55000000000000004">
      <c r="A6" s="10">
        <v>1401</v>
      </c>
      <c r="B6" s="10" t="s">
        <v>102</v>
      </c>
      <c r="C6" s="11">
        <v>3040200015</v>
      </c>
      <c r="D6" s="11" t="s">
        <v>122</v>
      </c>
      <c r="E6" s="10" t="s">
        <v>3</v>
      </c>
      <c r="F6" s="10" t="s">
        <v>2</v>
      </c>
      <c r="G6" s="10" t="s">
        <v>8</v>
      </c>
      <c r="H6" s="10" t="s">
        <v>57</v>
      </c>
      <c r="I6" s="10" t="s">
        <v>177</v>
      </c>
      <c r="K6" s="42"/>
      <c r="L6" s="12">
        <v>0</v>
      </c>
      <c r="M6" s="41"/>
      <c r="N6" s="12"/>
      <c r="O6" s="41"/>
      <c r="P6" s="12"/>
      <c r="Q6" s="12"/>
      <c r="R6" s="12">
        <v>41600000</v>
      </c>
      <c r="S6" s="12">
        <v>548803</v>
      </c>
      <c r="T6" s="12">
        <v>7383675</v>
      </c>
      <c r="U6" s="12">
        <v>39328339</v>
      </c>
      <c r="V6" s="14"/>
    </row>
    <row r="7" spans="1:22" ht="18" x14ac:dyDescent="0.55000000000000004">
      <c r="A7" s="10">
        <v>1401</v>
      </c>
      <c r="B7" s="10" t="s">
        <v>102</v>
      </c>
      <c r="C7" s="11">
        <v>3040200017</v>
      </c>
      <c r="D7" s="11" t="s">
        <v>123</v>
      </c>
      <c r="E7" s="10" t="s">
        <v>3</v>
      </c>
      <c r="F7" s="10" t="s">
        <v>2</v>
      </c>
      <c r="G7" s="10" t="s">
        <v>9</v>
      </c>
      <c r="H7" s="10" t="s">
        <v>60</v>
      </c>
      <c r="I7" s="10" t="s">
        <v>181</v>
      </c>
      <c r="K7" s="42">
        <v>80.900000000000006</v>
      </c>
      <c r="L7" s="12">
        <v>36459552</v>
      </c>
      <c r="M7" s="41">
        <v>27.26</v>
      </c>
      <c r="N7" s="12">
        <v>3510968</v>
      </c>
      <c r="O7" s="41"/>
      <c r="P7" s="12"/>
      <c r="Q7" s="12"/>
      <c r="R7" s="12">
        <v>129970520</v>
      </c>
      <c r="S7" s="12">
        <v>5066794</v>
      </c>
      <c r="T7" s="12">
        <v>17669250</v>
      </c>
      <c r="U7" s="12">
        <v>95180901</v>
      </c>
      <c r="V7" s="14"/>
    </row>
    <row r="8" spans="1:22" ht="18" x14ac:dyDescent="0.55000000000000004">
      <c r="A8" s="10">
        <v>1401</v>
      </c>
      <c r="B8" s="10" t="s">
        <v>102</v>
      </c>
      <c r="C8" s="11">
        <v>3040200019</v>
      </c>
      <c r="D8" s="11" t="s">
        <v>124</v>
      </c>
      <c r="E8" s="10" t="s">
        <v>3</v>
      </c>
      <c r="F8" s="10" t="s">
        <v>2</v>
      </c>
      <c r="G8" s="10" t="s">
        <v>9</v>
      </c>
      <c r="H8" s="13" t="s">
        <v>58</v>
      </c>
      <c r="I8" s="10" t="s">
        <v>182</v>
      </c>
      <c r="K8" s="42">
        <v>46.37</v>
      </c>
      <c r="L8" s="12">
        <v>15198839</v>
      </c>
      <c r="M8" s="41">
        <v>4.38</v>
      </c>
      <c r="N8" s="12">
        <v>408325</v>
      </c>
      <c r="O8" s="41"/>
      <c r="P8" s="12"/>
      <c r="Q8" s="12"/>
      <c r="R8" s="12">
        <v>90201323</v>
      </c>
      <c r="S8" s="12">
        <v>658376</v>
      </c>
      <c r="T8" s="12">
        <v>18248850</v>
      </c>
      <c r="U8" s="12">
        <v>82884882</v>
      </c>
      <c r="V8" s="14"/>
    </row>
    <row r="9" spans="1:22" ht="18" x14ac:dyDescent="0.55000000000000004">
      <c r="A9" s="10">
        <v>1401</v>
      </c>
      <c r="B9" s="10" t="s">
        <v>102</v>
      </c>
      <c r="C9" s="11">
        <v>3040200020</v>
      </c>
      <c r="D9" s="11" t="s">
        <v>125</v>
      </c>
      <c r="E9" s="10" t="s">
        <v>3</v>
      </c>
      <c r="F9" s="10" t="s">
        <v>2</v>
      </c>
      <c r="G9" s="10" t="s">
        <v>9</v>
      </c>
      <c r="H9" s="10" t="s">
        <v>62</v>
      </c>
      <c r="I9" s="10" t="s">
        <v>180</v>
      </c>
      <c r="K9" s="42">
        <v>48.01</v>
      </c>
      <c r="L9" s="12">
        <v>21389243</v>
      </c>
      <c r="M9" s="41">
        <v>8.6999999999999993</v>
      </c>
      <c r="N9" s="12">
        <v>1107273</v>
      </c>
      <c r="O9" s="41"/>
      <c r="P9" s="12"/>
      <c r="Q9" s="12"/>
      <c r="R9" s="12">
        <v>117496516</v>
      </c>
      <c r="S9" s="12">
        <v>4223845</v>
      </c>
      <c r="T9" s="12">
        <v>18248850</v>
      </c>
      <c r="U9" s="12">
        <v>108414606</v>
      </c>
      <c r="V9" s="14"/>
    </row>
    <row r="10" spans="1:22" ht="18" x14ac:dyDescent="0.55000000000000004">
      <c r="A10" s="10">
        <v>1401</v>
      </c>
      <c r="B10" s="10" t="s">
        <v>102</v>
      </c>
      <c r="C10" s="11">
        <v>3040200024</v>
      </c>
      <c r="D10" s="11" t="s">
        <v>126</v>
      </c>
      <c r="E10" s="10" t="s">
        <v>3</v>
      </c>
      <c r="F10" s="10" t="s">
        <v>1</v>
      </c>
      <c r="G10" s="10" t="s">
        <v>10</v>
      </c>
      <c r="H10" s="13" t="s">
        <v>64</v>
      </c>
      <c r="I10" s="10" t="s">
        <v>170</v>
      </c>
      <c r="K10" s="42">
        <v>134.29</v>
      </c>
      <c r="L10" s="12">
        <v>40356944</v>
      </c>
      <c r="M10" s="41">
        <v>37.06</v>
      </c>
      <c r="N10" s="12">
        <v>3178083</v>
      </c>
      <c r="O10" s="41">
        <v>124.6</v>
      </c>
      <c r="P10" s="12">
        <v>8571538</v>
      </c>
      <c r="Q10" s="12"/>
      <c r="R10" s="12">
        <v>118443128</v>
      </c>
      <c r="S10" s="12">
        <v>3928756</v>
      </c>
      <c r="T10" s="12">
        <v>17039250</v>
      </c>
      <c r="U10" s="12">
        <v>108738547</v>
      </c>
      <c r="V10" s="14"/>
    </row>
    <row r="11" spans="1:22" ht="18" x14ac:dyDescent="0.55000000000000004">
      <c r="A11" s="10">
        <v>1401</v>
      </c>
      <c r="B11" s="10" t="s">
        <v>102</v>
      </c>
      <c r="C11" s="11">
        <v>3040200025</v>
      </c>
      <c r="D11" s="11" t="s">
        <v>127</v>
      </c>
      <c r="E11" s="10" t="s">
        <v>3</v>
      </c>
      <c r="F11" s="10" t="s">
        <v>1</v>
      </c>
      <c r="G11" s="10" t="s">
        <v>12</v>
      </c>
      <c r="H11" s="13" t="s">
        <v>70</v>
      </c>
      <c r="I11" s="10" t="s">
        <v>171</v>
      </c>
      <c r="K11" s="42">
        <v>59.48</v>
      </c>
      <c r="L11" s="12">
        <v>20078213</v>
      </c>
      <c r="M11" s="41">
        <v>39.5</v>
      </c>
      <c r="N11" s="12">
        <v>3789247</v>
      </c>
      <c r="O11" s="41"/>
      <c r="P11" s="12"/>
      <c r="Q11" s="12"/>
      <c r="R11" s="12">
        <v>91629129</v>
      </c>
      <c r="S11" s="12">
        <v>1665330</v>
      </c>
      <c r="T11" s="12">
        <v>17039250</v>
      </c>
      <c r="U11" s="12">
        <v>85387974</v>
      </c>
      <c r="V11" s="14"/>
    </row>
    <row r="12" spans="1:22" ht="18" x14ac:dyDescent="0.55000000000000004">
      <c r="A12" s="10">
        <v>1401</v>
      </c>
      <c r="B12" s="10" t="s">
        <v>102</v>
      </c>
      <c r="C12" s="11">
        <v>3040200060</v>
      </c>
      <c r="D12" s="11" t="s">
        <v>128</v>
      </c>
      <c r="E12" s="10" t="s">
        <v>3</v>
      </c>
      <c r="F12" s="10" t="s">
        <v>1</v>
      </c>
      <c r="G12" s="10" t="s">
        <v>14</v>
      </c>
      <c r="H12" s="10" t="s">
        <v>73</v>
      </c>
      <c r="I12" s="10" t="s">
        <v>197</v>
      </c>
      <c r="K12" s="42">
        <v>33.630000000000003</v>
      </c>
      <c r="L12" s="12">
        <v>14412054</v>
      </c>
      <c r="M12" s="41"/>
      <c r="N12" s="12"/>
      <c r="O12" s="41"/>
      <c r="P12" s="12"/>
      <c r="Q12" s="12"/>
      <c r="R12" s="12">
        <v>105108066</v>
      </c>
      <c r="S12" s="12">
        <v>2162574</v>
      </c>
      <c r="T12" s="12">
        <v>17669250</v>
      </c>
      <c r="U12" s="12">
        <v>46422667</v>
      </c>
      <c r="V12" s="14"/>
    </row>
    <row r="13" spans="1:22" ht="18" x14ac:dyDescent="0.55000000000000004">
      <c r="A13" s="10">
        <v>1401</v>
      </c>
      <c r="B13" s="10" t="s">
        <v>102</v>
      </c>
      <c r="C13" s="11">
        <v>3040200074</v>
      </c>
      <c r="D13" s="11" t="s">
        <v>129</v>
      </c>
      <c r="E13" s="10" t="s">
        <v>3</v>
      </c>
      <c r="F13" s="10" t="s">
        <v>0</v>
      </c>
      <c r="G13" s="10" t="s">
        <v>11</v>
      </c>
      <c r="H13" s="10" t="s">
        <v>68</v>
      </c>
      <c r="I13" s="10" t="s">
        <v>173</v>
      </c>
      <c r="K13" s="42">
        <v>28.36</v>
      </c>
      <c r="L13" s="12">
        <v>11914000</v>
      </c>
      <c r="M13" s="41"/>
      <c r="N13" s="12"/>
      <c r="O13" s="41"/>
      <c r="P13" s="12"/>
      <c r="Q13" s="12"/>
      <c r="R13" s="12">
        <v>92914000</v>
      </c>
      <c r="S13" s="12">
        <v>1793818</v>
      </c>
      <c r="T13" s="12">
        <v>17039250</v>
      </c>
      <c r="U13" s="12">
        <v>86544357</v>
      </c>
      <c r="V13" s="14"/>
    </row>
    <row r="14" spans="1:22" ht="18" x14ac:dyDescent="0.55000000000000004">
      <c r="A14" s="10">
        <v>1401</v>
      </c>
      <c r="B14" s="10" t="s">
        <v>102</v>
      </c>
      <c r="C14" s="11">
        <v>3040200075</v>
      </c>
      <c r="D14" s="11" t="s">
        <v>130</v>
      </c>
      <c r="E14" s="10" t="s">
        <v>3</v>
      </c>
      <c r="F14" s="10" t="s">
        <v>1</v>
      </c>
      <c r="G14" s="10" t="s">
        <v>10</v>
      </c>
      <c r="H14" s="13" t="s">
        <v>64</v>
      </c>
      <c r="I14" s="10" t="s">
        <v>170</v>
      </c>
      <c r="K14" s="42">
        <v>119.35</v>
      </c>
      <c r="L14" s="12">
        <v>31745201</v>
      </c>
      <c r="M14" s="41">
        <v>31.83</v>
      </c>
      <c r="N14" s="12">
        <v>2419189</v>
      </c>
      <c r="O14" s="41">
        <v>114.21</v>
      </c>
      <c r="P14" s="12">
        <v>6963463</v>
      </c>
      <c r="Q14" s="12"/>
      <c r="R14" s="12">
        <v>102105103</v>
      </c>
      <c r="S14" s="12">
        <v>2294953</v>
      </c>
      <c r="T14" s="12">
        <v>17039250</v>
      </c>
      <c r="U14" s="12">
        <v>94034325</v>
      </c>
      <c r="V14" s="14"/>
    </row>
    <row r="15" spans="1:22" ht="18" x14ac:dyDescent="0.55000000000000004">
      <c r="A15" s="10">
        <v>1401</v>
      </c>
      <c r="B15" s="10" t="s">
        <v>102</v>
      </c>
      <c r="C15" s="11">
        <v>3040200076</v>
      </c>
      <c r="D15" s="11" t="s">
        <v>131</v>
      </c>
      <c r="E15" s="10" t="s">
        <v>3</v>
      </c>
      <c r="F15" s="10" t="s">
        <v>2</v>
      </c>
      <c r="G15" s="10" t="s">
        <v>9</v>
      </c>
      <c r="H15" s="10" t="s">
        <v>60</v>
      </c>
      <c r="I15" s="10" t="s">
        <v>181</v>
      </c>
      <c r="K15" s="42">
        <v>28.33</v>
      </c>
      <c r="L15" s="12">
        <v>13522727</v>
      </c>
      <c r="M15" s="41">
        <v>4.03</v>
      </c>
      <c r="N15" s="12">
        <v>550000</v>
      </c>
      <c r="O15" s="41"/>
      <c r="P15" s="12"/>
      <c r="Q15" s="12"/>
      <c r="R15" s="12">
        <v>104072727</v>
      </c>
      <c r="S15" s="12">
        <v>2909690</v>
      </c>
      <c r="T15" s="12">
        <v>17039250</v>
      </c>
      <c r="U15" s="12">
        <v>95987212</v>
      </c>
      <c r="V15" s="14"/>
    </row>
    <row r="16" spans="1:22" ht="18" x14ac:dyDescent="0.55000000000000004">
      <c r="A16" s="10">
        <v>1401</v>
      </c>
      <c r="B16" s="10" t="s">
        <v>102</v>
      </c>
      <c r="C16" s="11">
        <v>3040210004</v>
      </c>
      <c r="D16" s="11" t="s">
        <v>132</v>
      </c>
      <c r="E16" s="10" t="s">
        <v>4</v>
      </c>
      <c r="F16" s="10" t="s">
        <v>0</v>
      </c>
      <c r="G16" s="10" t="s">
        <v>6</v>
      </c>
      <c r="H16" s="10" t="s">
        <v>39</v>
      </c>
      <c r="I16" s="10" t="s">
        <v>194</v>
      </c>
      <c r="J16" s="44">
        <v>176.66</v>
      </c>
      <c r="K16" s="42">
        <v>35</v>
      </c>
      <c r="L16" s="12">
        <v>21422416</v>
      </c>
      <c r="M16" s="41"/>
      <c r="N16" s="12"/>
      <c r="O16" s="41"/>
      <c r="P16" s="12"/>
      <c r="Q16" s="12"/>
      <c r="R16" s="12">
        <v>132604694</v>
      </c>
      <c r="S16" s="12">
        <v>5748187</v>
      </c>
      <c r="T16" s="12">
        <v>17669250</v>
      </c>
      <c r="U16" s="12">
        <v>122133682</v>
      </c>
      <c r="V16" s="14"/>
    </row>
    <row r="17" spans="1:22" ht="18" x14ac:dyDescent="0.55000000000000004">
      <c r="A17" s="10">
        <v>1401</v>
      </c>
      <c r="B17" s="10" t="s">
        <v>102</v>
      </c>
      <c r="C17" s="11">
        <v>3040210005</v>
      </c>
      <c r="D17" s="11" t="s">
        <v>133</v>
      </c>
      <c r="E17" s="10" t="s">
        <v>4</v>
      </c>
      <c r="F17" s="10" t="s">
        <v>0</v>
      </c>
      <c r="G17" s="10" t="s">
        <v>7</v>
      </c>
      <c r="H17" s="10" t="s">
        <v>46</v>
      </c>
      <c r="I17" s="10" t="s">
        <v>195</v>
      </c>
      <c r="J17" s="10">
        <v>187.58</v>
      </c>
      <c r="K17" s="42">
        <v>23.63</v>
      </c>
      <c r="L17" s="12">
        <v>10677970</v>
      </c>
      <c r="M17" s="41"/>
      <c r="N17" s="12"/>
      <c r="O17" s="41"/>
      <c r="P17" s="12"/>
      <c r="Q17" s="12"/>
      <c r="R17" s="12">
        <v>96677970</v>
      </c>
      <c r="S17" s="12">
        <v>2155515</v>
      </c>
      <c r="T17" s="12">
        <v>17669250</v>
      </c>
      <c r="U17" s="12">
        <v>89799630</v>
      </c>
      <c r="V17" s="14"/>
    </row>
    <row r="18" spans="1:22" ht="18" x14ac:dyDescent="0.55000000000000004">
      <c r="A18" s="10">
        <v>1401</v>
      </c>
      <c r="B18" s="10" t="s">
        <v>102</v>
      </c>
      <c r="C18" s="11">
        <v>5010100004</v>
      </c>
      <c r="D18" s="11" t="s">
        <v>134</v>
      </c>
      <c r="E18" s="10" t="s">
        <v>4</v>
      </c>
      <c r="F18" s="10" t="s">
        <v>0</v>
      </c>
      <c r="G18" s="10" t="s">
        <v>5</v>
      </c>
      <c r="H18" s="10" t="s">
        <v>20</v>
      </c>
      <c r="I18" s="10" t="s">
        <v>193</v>
      </c>
      <c r="K18" s="42"/>
      <c r="L18" s="12">
        <v>0</v>
      </c>
      <c r="M18" s="41"/>
      <c r="N18" s="12"/>
      <c r="O18" s="41"/>
      <c r="P18" s="12"/>
      <c r="Q18" s="12"/>
      <c r="R18" s="12">
        <v>169043070</v>
      </c>
      <c r="S18" s="12">
        <v>8232288</v>
      </c>
      <c r="T18" s="12">
        <v>49458996</v>
      </c>
      <c r="U18" s="12">
        <v>147470350</v>
      </c>
      <c r="V18" s="14"/>
    </row>
    <row r="19" spans="1:22" ht="18" x14ac:dyDescent="0.55000000000000004">
      <c r="A19" s="10">
        <v>1401</v>
      </c>
      <c r="B19" s="10" t="s">
        <v>102</v>
      </c>
      <c r="C19" s="10">
        <v>304</v>
      </c>
      <c r="D19" s="15" t="s">
        <v>202</v>
      </c>
      <c r="E19" s="13" t="s">
        <v>3</v>
      </c>
      <c r="F19" s="13" t="s">
        <v>1</v>
      </c>
      <c r="G19" s="10" t="s">
        <v>17</v>
      </c>
      <c r="H19" s="10" t="s">
        <v>77</v>
      </c>
      <c r="I19" s="10" t="s">
        <v>179</v>
      </c>
      <c r="K19" s="42"/>
      <c r="L19" s="12"/>
      <c r="M19" s="41"/>
      <c r="N19" s="12"/>
      <c r="O19" s="41"/>
      <c r="P19" s="12"/>
      <c r="Q19" s="12"/>
      <c r="R19" s="12">
        <v>100000000</v>
      </c>
      <c r="S19" s="12"/>
      <c r="T19" s="12"/>
      <c r="U19" s="12">
        <v>100000000</v>
      </c>
      <c r="V19" s="14"/>
    </row>
    <row r="20" spans="1:22" ht="18" x14ac:dyDescent="0.55000000000000004">
      <c r="A20" s="19" t="s">
        <v>136</v>
      </c>
      <c r="B20" s="19"/>
      <c r="C20" s="16">
        <f>SUBTOTAL(103,Table1[کد پرسنلی])</f>
        <v>18</v>
      </c>
      <c r="D20" s="17"/>
      <c r="E20" s="16"/>
      <c r="F20" s="16"/>
      <c r="G20" s="16"/>
      <c r="H20" s="16"/>
      <c r="I20" s="16"/>
      <c r="J20" s="16">
        <f>SUBTOTAL(109,Table1[کارکرد
(ساعت)])</f>
        <v>364.24</v>
      </c>
      <c r="K20" s="16">
        <f>SUBTOTAL(109,Table1[اضافه کاری
(ساعت)])</f>
        <v>873.49</v>
      </c>
      <c r="L20" s="18">
        <f>SUBTOTAL(109,Table1[مبلغ
اضافه کاری])</f>
        <v>331040260</v>
      </c>
      <c r="M20" s="43">
        <f>SUBTOTAL(109,Table1[جمعه کاری
(ساعت)])</f>
        <v>206.43999999999997</v>
      </c>
      <c r="N20" s="18">
        <f>SUBTOTAL(109,Table1[مبلغ
جمعه کاری])</f>
        <v>21295720</v>
      </c>
      <c r="O20" s="43">
        <f>SUBTOTAL(109,Table1[شب کاری
(ساعت)])</f>
        <v>389.31</v>
      </c>
      <c r="P20" s="18">
        <f>SUBTOTAL(109,Table1[مبلغ
شب کاری])</f>
        <v>26576643</v>
      </c>
      <c r="Q20" s="18">
        <f>SUBTOTAL(109,Table1[مبلغ
حق ماموریت])</f>
        <v>7130144</v>
      </c>
      <c r="R20" s="18">
        <f>SUBTOTAL(109,Table1[جمع
حقوق و مزایا])</f>
        <v>1989906016</v>
      </c>
      <c r="S20" s="18">
        <f>SUBTOTAL(109,Table1[مالیات])</f>
        <v>57703299</v>
      </c>
      <c r="T20" s="18">
        <f>SUBTOTAL(109,Table1[بیمه])</f>
        <v>329302548</v>
      </c>
      <c r="U20" s="18">
        <f>SUBTOTAL(109,Table1[حقوق پرداختنی
(خالص)])</f>
        <v>1759965456</v>
      </c>
      <c r="V20" s="14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listbox!$C$2:$C$13</xm:f>
          </x14:formula1>
          <xm:sqref>A21:B1048576 B2:B19</xm:sqref>
        </x14:dataValidation>
        <x14:dataValidation type="list" allowBlank="1" showInputMessage="1" showErrorMessage="1" xr:uid="{00000000-0002-0000-0200-000001000000}">
          <x14:formula1>
            <xm:f>listbox!$E$2:$E$3</xm:f>
          </x14:formula1>
          <xm:sqref>F21:F1048576 E2:E19</xm:sqref>
        </x14:dataValidation>
        <x14:dataValidation type="list" allowBlank="1" showInputMessage="1" showErrorMessage="1" xr:uid="{00000000-0002-0000-0200-000002000000}">
          <x14:formula1>
            <xm:f>listbox!$G$2:$G$16</xm:f>
          </x14:formula1>
          <xm:sqref>H21:H1048576 G2:G19</xm:sqref>
        </x14:dataValidation>
        <x14:dataValidation type="list" allowBlank="1" showInputMessage="1" showErrorMessage="1" xr:uid="{00000000-0002-0000-0200-000003000000}">
          <x14:formula1>
            <xm:f>listbox!$H$2:$H$75</xm:f>
          </x14:formula1>
          <xm:sqref>I21:I1048576 H2:H19</xm:sqref>
        </x14:dataValidation>
        <x14:dataValidation type="list" allowBlank="1" showInputMessage="1" showErrorMessage="1" xr:uid="{00000000-0002-0000-0200-000004000000}">
          <x14:formula1>
            <xm:f>listbox!$I$2:$I$32</xm:f>
          </x14:formula1>
          <xm:sqref>J21:K1048576 I2:I19 J19</xm:sqref>
        </x14:dataValidation>
        <x14:dataValidation type="list" allowBlank="1" showInputMessage="1" showErrorMessage="1" xr:uid="{00000000-0002-0000-0200-000005000000}">
          <x14:formula1>
            <xm:f>listbox!$F$2:$F$4</xm:f>
          </x14:formula1>
          <xm:sqref>F1:F19 G21:G1048576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R8:T10"/>
  <sheetViews>
    <sheetView rightToLeft="1" tabSelected="1" zoomScale="160" zoomScaleNormal="160" workbookViewId="0">
      <selection activeCell="K11" sqref="K11"/>
    </sheetView>
  </sheetViews>
  <sheetFormatPr defaultRowHeight="22.5" x14ac:dyDescent="0.55000000000000004"/>
  <cols>
    <col min="1" max="1" width="0.44140625" style="1" customWidth="1"/>
    <col min="2" max="16384" width="8.88671875" style="1"/>
  </cols>
  <sheetData>
    <row r="8" spans="18:20" x14ac:dyDescent="0.55000000000000004">
      <c r="T8"/>
    </row>
    <row r="10" spans="18:20" x14ac:dyDescent="0.55000000000000004">
      <c r="R10"/>
    </row>
  </sheetData>
  <printOptions horizontalCentered="1"/>
  <pageMargins left="0" right="0" top="0" bottom="0" header="0.15748031496062992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10</xdr:col>
                    <xdr:colOff>266700</xdr:colOff>
                    <xdr:row>7</xdr:row>
                    <xdr:rowOff>152400</xdr:rowOff>
                  </from>
                  <to>
                    <xdr:col>12</xdr:col>
                    <xdr:colOff>295275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10</xdr:col>
                    <xdr:colOff>257175</xdr:colOff>
                    <xdr:row>4</xdr:row>
                    <xdr:rowOff>219075</xdr:rowOff>
                  </from>
                  <to>
                    <xdr:col>12</xdr:col>
                    <xdr:colOff>285750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listbox</vt:lpstr>
      <vt:lpstr>calc</vt:lpstr>
      <vt:lpstr>database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soli-pc</dc:creator>
  <cp:lastModifiedBy>soli-pc</cp:lastModifiedBy>
  <cp:lastPrinted>2023-01-03T07:27:42Z</cp:lastPrinted>
  <dcterms:created xsi:type="dcterms:W3CDTF">2023-01-02T09:43:39Z</dcterms:created>
  <dcterms:modified xsi:type="dcterms:W3CDTF">2023-01-07T13:50:48Z</dcterms:modified>
</cp:coreProperties>
</file>